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25" windowWidth="19005" windowHeight="11520" tabRatio="724" activeTab="2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Management'!$A$1:$Q$101</definedName>
    <definedName name="_xlnm.Print_Area" localSheetId="11">'Assets under Management'!$A$1:$Q$24</definedName>
    <definedName name="_xlnm.Print_Area" localSheetId="7">'CIC'!$A$1:$Q$24</definedName>
    <definedName name="_xlnm.Print_Area" localSheetId="2">'Core Results'!$A$1:$Q$48</definedName>
    <definedName name="_xlnm.Print_Area" localSheetId="3">'Core Results by region'!$A$1:$Q$24</definedName>
    <definedName name="_xlnm.Print_Area" localSheetId="10">'Corporate Center'!$A$1:$Q$21</definedName>
    <definedName name="_xlnm.Print_Area" localSheetId="0">'Credit Suisse'!$A$1:$Q$77</definedName>
    <definedName name="_xlnm.Print_Area" localSheetId="8">'Investment Banking'!$A$1:$Q$54</definedName>
    <definedName name="_xlnm.Print_Area" localSheetId="1">'Noncontrolling interests'!$A$1:$Q$22</definedName>
    <definedName name="_xlnm.Print_Area" localSheetId="4">'Private Banking'!$A$1:$Q$61</definedName>
    <definedName name="_xlnm.Print_Area" localSheetId="5">'Private Banking_2'!$A$1:$Q$60</definedName>
    <definedName name="_xlnm.Print_Area" localSheetId="6">'WMC'!$A$1:$Q$34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<sst xmlns="http://schemas.openxmlformats.org/spreadsheetml/2006/main" count="602" uniqueCount="205">
  <si>
    <t>Assets under management - Private Banking</t>
  </si>
  <si>
    <t>Net new assets (CHF billion)</t>
  </si>
  <si>
    <t>Equity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</si>
  <si>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</si>
  <si>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</si>
  <si>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</si>
  <si>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</si>
  <si>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</si>
  <si>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</si>
  <si>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</si>
  <si>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</si>
  <si>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</si>
  <si>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</si>
  <si>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</si>
  <si>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</si>
  <si>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</si>
  <si>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</si>
  <si>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</si>
  <si>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</si>
  <si>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</si>
  <si>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</si>
  <si>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</si>
  <si>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</si>
  <si>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</si>
  <si>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</si>
  <si>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</si>
  <si>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</si>
  <si>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</si>
  <si>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</si>
  <si>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</si>
  <si>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</si>
  <si>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</si>
  <si>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</si>
  <si>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</si>
  <si>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</si>
  <si>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</si>
  <si>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Interest rate and credit spread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</si>
  <si>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</si>
  <si>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</si>
  <si>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</si>
  <si>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</si>
  <si>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</si>
  <si>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</si>
  <si>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</si>
  <si>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</si>
  <si>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</si>
  <si>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</si>
  <si>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</si>
  <si>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</si>
  <si>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</si>
  <si>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</si>
  <si>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</si>
  <si>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</si>
  <si>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</si>
  <si>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</si>
  <si>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</si>
  <si>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</si>
  <si>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</si>
  <si>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</si>
  <si>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</si>
  <si>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</si>
  <si>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</si>
  <si>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</si>
  <si>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</si>
  <si>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</si>
  <si>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</si>
  <si>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Growth in assets under management (rolling four-quarter average) (%)</t>
  </si>
  <si>
    <t>Growth in assets under management
(rolling four-quarter average)</t>
  </si>
  <si>
    <t>Effective tax rate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</si>
  <si>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</si>
  <si>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</si>
  <si>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</si>
  <si>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</si>
  <si>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</si>
  <si>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</si>
  <si>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</si>
  <si>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</si>
  <si>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</si>
  <si>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</si>
  <si>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</si>
  <si>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</si>
  <si>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</si>
  <si>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</si>
  <si>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</si>
  <si>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</si>
  <si>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</si>
  <si>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</si>
  <si>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</si>
  <si>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</si>
  <si>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</si>
  <si>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</si>
  <si>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</si>
  <si>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</si>
  <si>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</si>
  <si>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</si>
  <si>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</si>
  <si>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</si>
  <si>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</si>
  <si>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</si>
  <si>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</si>
  <si>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</si>
  <si>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</si>
  <si>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</si>
  <si>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Statements of operations (CHF million)</t>
  </si>
  <si>
    <t>Statement of operations metrics (%)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</si>
  <si>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</si>
  <si>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</si>
  <si>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</si>
  <si>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</si>
  <si>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</si>
  <si>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</si>
  <si>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</si>
  <si>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</si>
  <si>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Based on amounts attributable to shareholders.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</si>
  <si>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</si>
  <si>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</si>
  <si>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</si>
  <si>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</si>
  <si>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</si>
  <si>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</si>
  <si>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</si>
  <si>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</si>
  <si>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</si>
  <si>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</si>
  <si>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</si>
  <si>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</si>
  <si>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</si>
  <si>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</si>
  <si>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</si>
  <si>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</si>
  <si>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</si>
  <si>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</si>
  <si>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New provisions</t>
  </si>
  <si>
    <t>Releases of provisions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</si>
  <si>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</si>
  <si>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</si>
  <si>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</si>
  <si>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</si>
  <si>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</si>
  <si>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</si>
  <si>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</si>
  <si>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</si>
  <si>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</si>
  <si>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</si>
  <si>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</si>
  <si>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</si>
  <si>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</si>
  <si>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</si>
  <si>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</si>
  <si>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</si>
  <si>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</si>
  <si>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</si>
  <si>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</si>
  <si>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</si>
  <si>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</si>
  <si>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</si>
  <si>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</si>
  <si>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</si>
  <si>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</si>
  <si>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</si>
  <si>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</si>
  <si>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</si>
  <si>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</si>
  <si>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</si>
  <si>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</si>
  <si>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</si>
  <si>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</si>
  <si>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</si>
  <si>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</si>
  <si>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</si>
  <si>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Net revenue detail by investment strategies (CHF million)</t>
  </si>
  <si>
    <t>Alternative investments</t>
  </si>
  <si>
    <t>Traditional investments</t>
  </si>
  <si>
    <t xml:space="preserve">Diversified investments </t>
  </si>
  <si>
    <t>Net revenues before investment-related gains/(losses)</t>
  </si>
  <si>
    <t>Fee-based margin on assets under management (annualized) (bp)</t>
  </si>
  <si>
    <t>Fee-based margin</t>
  </si>
  <si>
    <t>Assets under management - Asset Management</t>
  </si>
  <si>
    <t>of which hedge funds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</si>
  <si>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</si>
  <si>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</si>
  <si>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</si>
  <si>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</si>
  <si>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</si>
  <si>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other</t>
  </si>
  <si>
    <t>of which multi-asset class solutions</t>
  </si>
  <si>
    <t>of which fixed income &amp; equities</t>
  </si>
  <si>
    <t>Diversified investments</t>
  </si>
  <si>
    <t>Assets under management by currency (CHF billion)</t>
  </si>
  <si>
    <t xml:space="preserve">of which currency </t>
  </si>
  <si>
    <t>Growth in
assets under management</t>
  </si>
  <si>
    <t>Principal investments (CHF billion)</t>
  </si>
  <si>
    <t>Principal investments</t>
  </si>
  <si>
    <t>2Q11</t>
  </si>
  <si>
    <t>na</t>
  </si>
  <si>
    <t>Average one-day, 98% risk management Value-at-Risk</t>
  </si>
  <si>
    <t>Average one-day, 98% risk management Value-at-Risk (CHF million)</t>
  </si>
  <si>
    <t>3Q11</t>
  </si>
  <si>
    <t>4Q11</t>
  </si>
  <si>
    <t>Under Basel II.5 as of December 31, 2011. Prior period ratios were reported under Basel II and therefore not comparable.</t>
  </si>
  <si>
    <t>1Q12</t>
  </si>
  <si>
    <t xml:space="preserve"> </t>
  </si>
  <si>
    <t>Equity participations and other gains/(losses)</t>
  </si>
  <si>
    <t>2Q12</t>
  </si>
  <si>
    <t xml:space="preserve">Certain reclassifications, including Clariden Leu integration, have been made to prior periods to conform to the current presentation. </t>
  </si>
</sst>
</file>

<file path=xl/styles.xml><?xml version="1.0" encoding="utf-8"?>
<styleSheet xmlns="http://schemas.openxmlformats.org/spreadsheetml/2006/main">
  <numFmts count="6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$&quot;#,##0.00_);\(&quot;$&quot;#,##0.00\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#,##0_);\(#,##0\);@_)"/>
    <numFmt numFmtId="178" formatCode="#,##0.0_);\(#,##0.0\);@_)"/>
    <numFmt numFmtId="179" formatCode="#,##0.00_);\(#,##0.00\);@_)"/>
    <numFmt numFmtId="180" formatCode="0.0"/>
    <numFmt numFmtId="181" formatCode=";;;"/>
    <numFmt numFmtId="182" formatCode="_(* #,##0&quot;bp&quot;_);_(* \(#,##0&quot;bp&quot;\);_(* &quot;-bp&quot;_);_(@_)"/>
    <numFmt numFmtId="183" formatCode="#,##0.000_ ;[Red]\-#,##0.000\ "/>
    <numFmt numFmtId="184" formatCode="#,##0;\-#,##0;&quot;-&quot;"/>
    <numFmt numFmtId="185" formatCode="0.000_)"/>
    <numFmt numFmtId="186" formatCode="_(* #,##0.0_);_(* \(#,##0.0\);_(* &quot;-&quot;??_);_(@_)"/>
    <numFmt numFmtId="187" formatCode="&quot;$&quot;#,##0.0;\(&quot;$&quot;#,##0.0\);&quot;$&quot;#,##0.0"/>
    <numFmt numFmtId="188" formatCode="_(&quot;$&quot;* #,##0.0_);_(&quot;$&quot;* \(#,##0.0\);_(&quot;$&quot;* &quot;-&quot;_);_(@_)"/>
    <numFmt numFmtId="189" formatCode="&quot;$&quot;#,##0.00"/>
    <numFmt numFmtId="190" formatCode="_([$€-2]* #,##0.00_);_([$€-2]* \(#,##0.00\);_([$€-2]* &quot;-&quot;??_)"/>
    <numFmt numFmtId="191" formatCode="#,##0;\(#,##0\)"/>
    <numFmt numFmtId="192" formatCode="dd\-mmm\-yy_)"/>
    <numFmt numFmtId="193" formatCode="#,##0.0\x_);\(#,##0.0\x\);#,##0.0\x_);@_)"/>
    <numFmt numFmtId="194" formatCode="_(* #,##0\ \x_);_(* \(#,##0\ \x\);_(* &quot;-&quot;??_);_(@_)"/>
    <numFmt numFmtId="195" formatCode="_(* #,##0.0\ \x_);_(* \(#,##0.0\ \x\);_(* &quot;-&quot;??_);_(@_)"/>
    <numFmt numFmtId="196" formatCode="General_)"/>
    <numFmt numFmtId="197" formatCode="0.00000000000%"/>
    <numFmt numFmtId="198" formatCode="#,##0,_);\(#,##0,_)\)"/>
    <numFmt numFmtId="199" formatCode="0.0000000%"/>
    <numFmt numFmtId="200" formatCode="0.0%"/>
    <numFmt numFmtId="201" formatCode="#,##0.0\%_);\(#,##0.0\%\);#,##0.0\%_);@_)"/>
    <numFmt numFmtId="202" formatCode="#,##0.0,,;\(#,##0.0,,\)"/>
    <numFmt numFmtId="203" formatCode="mm/dd/yy"/>
    <numFmt numFmtId="204" formatCode="#,##0.0_);\(#,##0.0\);\–"/>
    <numFmt numFmtId="205" formatCode="#,##0.0;\(#,##0.0\)"/>
    <numFmt numFmtId="206" formatCode="#,##0.0;\(#,##0.0\);\–"/>
    <numFmt numFmtId="207" formatCode="#,##0;\(#,##0\);\–"/>
    <numFmt numFmtId="208" formatCode="#,##0.00_);\(#,##0.00\);\–"/>
    <numFmt numFmtId="209" formatCode="#,##0.0;\(#,##0.0\);0.0"/>
    <numFmt numFmtId="210" formatCode="#,##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,,,;\(#,##0.0,,,\)"/>
    <numFmt numFmtId="216" formatCode="0.000000"/>
    <numFmt numFmtId="217" formatCode="0.00000"/>
    <numFmt numFmtId="218" formatCode="0.0000"/>
    <numFmt numFmtId="219" formatCode="0.0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8"/>
      <color indexed="8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1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2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10"/>
      <color theme="3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dotted">
        <color indexed="55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3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181" fontId="11" fillId="0" borderId="0" applyFont="0" applyFill="0" applyBorder="0" applyAlignment="0"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172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82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183" fontId="0" fillId="16" borderId="5">
      <alignment horizontal="right"/>
      <protection locked="0"/>
    </xf>
    <xf numFmtId="183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4" fontId="21" fillId="0" borderId="0" applyFill="0" applyBorder="0" applyAlignment="0">
      <protection/>
    </xf>
    <xf numFmtId="184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171" fontId="0" fillId="0" borderId="0" applyFont="0" applyFill="0" applyBorder="0" applyAlignment="0" applyProtection="0"/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85" fontId="30" fillId="0" borderId="0">
      <alignment/>
      <protection/>
    </xf>
    <xf numFmtId="169" fontId="0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170" fontId="0" fillId="0" borderId="0" applyFont="0" applyFill="0" applyBorder="0" applyAlignment="0" applyProtection="0"/>
    <xf numFmtId="187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40" fontId="2" fillId="0" borderId="0">
      <alignment/>
      <protection/>
    </xf>
    <xf numFmtId="0" fontId="36" fillId="0" borderId="0">
      <alignment/>
      <protection locked="0"/>
    </xf>
    <xf numFmtId="189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/>
      <protection/>
    </xf>
    <xf numFmtId="0" fontId="49" fillId="3" borderId="9" applyNumberFormat="0" applyAlignment="0" applyProtection="0"/>
    <xf numFmtId="10" fontId="2" fillId="4" borderId="5" applyNumberFormat="0" applyBorder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93" fontId="57" fillId="0" borderId="0" applyFont="0" applyFill="0" applyBorder="0" applyProtection="0">
      <alignment horizontal="right"/>
    </xf>
    <xf numFmtId="194" fontId="22" fillId="0" borderId="0" applyFont="0" applyFill="0" applyBorder="0" applyAlignment="0" applyProtection="0"/>
    <xf numFmtId="195" fontId="58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7" fontId="61" fillId="0" borderId="0">
      <alignment/>
      <protection/>
    </xf>
    <xf numFmtId="196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8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200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201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0" fontId="13" fillId="22" borderId="0" applyNumberFormat="0" applyFont="0" applyBorder="0" applyAlignment="0" applyProtection="0"/>
    <xf numFmtId="202" fontId="4" fillId="23" borderId="17">
      <alignment horizontal="right"/>
      <protection/>
    </xf>
    <xf numFmtId="0" fontId="7" fillId="0" borderId="0">
      <alignment/>
      <protection/>
    </xf>
    <xf numFmtId="202" fontId="4" fillId="0" borderId="23" applyFill="0">
      <alignment/>
      <protection/>
    </xf>
    <xf numFmtId="0" fontId="68" fillId="0" borderId="7" applyNumberFormat="0" applyFill="0" applyBorder="0" applyAlignment="0" applyProtection="0"/>
    <xf numFmtId="203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6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39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7" fontId="0" fillId="0" borderId="33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77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left" vertical="center" wrapText="1"/>
    </xf>
    <xf numFmtId="177" fontId="9" fillId="0" borderId="31" xfId="0" applyNumberFormat="1" applyFont="1" applyFill="1" applyBorder="1" applyAlignment="1">
      <alignment horizontal="right" vertical="center"/>
    </xf>
    <xf numFmtId="177" fontId="9" fillId="0" borderId="32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 quotePrefix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29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>
      <alignment horizontal="right" vertical="center"/>
    </xf>
    <xf numFmtId="177" fontId="10" fillId="0" borderId="30" xfId="0" applyNumberFormat="1" applyFont="1" applyFill="1" applyBorder="1" applyAlignment="1" quotePrefix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8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 quotePrefix="1">
      <alignment horizontal="right" vertical="center"/>
    </xf>
    <xf numFmtId="177" fontId="10" fillId="0" borderId="2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8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10" fillId="0" borderId="31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9" fontId="10" fillId="0" borderId="33" xfId="0" applyNumberFormat="1" applyFont="1" applyFill="1" applyBorder="1" applyAlignment="1">
      <alignment horizontal="right" vertical="center"/>
    </xf>
    <xf numFmtId="177" fontId="10" fillId="0" borderId="4" xfId="0" applyNumberFormat="1" applyFont="1" applyFill="1" applyBorder="1" applyAlignment="1">
      <alignment horizontal="right" vertical="center"/>
    </xf>
    <xf numFmtId="177" fontId="80" fillId="0" borderId="35" xfId="0" applyNumberFormat="1" applyFont="1" applyFill="1" applyBorder="1" applyAlignment="1">
      <alignment horizontal="right" vertical="center"/>
    </xf>
    <xf numFmtId="178" fontId="4" fillId="0" borderId="2" xfId="0" applyNumberFormat="1" applyFont="1" applyFill="1" applyBorder="1" applyAlignment="1">
      <alignment horizontal="right" vertical="center"/>
    </xf>
    <xf numFmtId="177" fontId="10" fillId="0" borderId="36" xfId="0" applyNumberFormat="1" applyFont="1" applyFill="1" applyBorder="1" applyAlignment="1">
      <alignment horizontal="right" vertical="center"/>
    </xf>
    <xf numFmtId="179" fontId="0" fillId="0" borderId="31" xfId="0" applyNumberFormat="1" applyFont="1" applyFill="1" applyBorder="1" applyAlignment="1">
      <alignment horizontal="right" vertical="center"/>
    </xf>
    <xf numFmtId="0" fontId="21" fillId="0" borderId="3" xfId="0" applyNumberFormat="1" applyFont="1" applyFill="1" applyBorder="1" applyAlignment="1">
      <alignment vertical="center"/>
    </xf>
    <xf numFmtId="178" fontId="21" fillId="0" borderId="3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178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8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8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0" fontId="21" fillId="0" borderId="33" xfId="0" applyNumberFormat="1" applyFont="1" applyFill="1" applyBorder="1" applyAlignment="1">
      <alignment vertical="center"/>
    </xf>
    <xf numFmtId="178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7" fontId="82" fillId="0" borderId="30" xfId="0" applyNumberFormat="1" applyFont="1" applyFill="1" applyBorder="1" applyAlignment="1">
      <alignment horizontal="right" vertical="center"/>
    </xf>
    <xf numFmtId="177" fontId="83" fillId="0" borderId="31" xfId="0" applyNumberFormat="1" applyFont="1" applyFill="1" applyBorder="1" applyAlignment="1">
      <alignment horizontal="right" vertical="center"/>
    </xf>
    <xf numFmtId="177" fontId="83" fillId="0" borderId="32" xfId="0" applyNumberFormat="1" applyFont="1" applyFill="1" applyBorder="1" applyAlignment="1">
      <alignment horizontal="right" vertical="center"/>
    </xf>
    <xf numFmtId="177" fontId="82" fillId="0" borderId="33" xfId="0" applyNumberFormat="1" applyFont="1" applyFill="1" applyBorder="1" applyAlignment="1">
      <alignment horizontal="right" vertical="center"/>
    </xf>
    <xf numFmtId="177" fontId="82" fillId="0" borderId="34" xfId="0" applyNumberFormat="1" applyFont="1" applyFill="1" applyBorder="1" applyAlignment="1">
      <alignment horizontal="right" vertical="center"/>
    </xf>
    <xf numFmtId="177" fontId="83" fillId="0" borderId="0" xfId="0" applyNumberFormat="1" applyFont="1" applyFill="1" applyBorder="1" applyAlignment="1">
      <alignment horizontal="right" vertical="center"/>
    </xf>
    <xf numFmtId="177" fontId="82" fillId="0" borderId="30" xfId="0" applyNumberFormat="1" applyFont="1" applyFill="1" applyBorder="1" applyAlignment="1" quotePrefix="1">
      <alignment horizontal="right" vertical="center"/>
    </xf>
    <xf numFmtId="204" fontId="9" fillId="0" borderId="31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7" fontId="10" fillId="0" borderId="39" xfId="0" applyNumberFormat="1" applyFont="1" applyFill="1" applyBorder="1" applyAlignment="1">
      <alignment horizontal="right" vertical="center"/>
    </xf>
    <xf numFmtId="204" fontId="0" fillId="0" borderId="35" xfId="0" applyNumberFormat="1" applyFont="1" applyFill="1" applyBorder="1" applyAlignment="1">
      <alignment horizontal="right" vertical="center"/>
    </xf>
    <xf numFmtId="204" fontId="0" fillId="0" borderId="31" xfId="0" applyNumberFormat="1" applyFont="1" applyFill="1" applyBorder="1" applyAlignment="1">
      <alignment horizontal="right" vertical="center"/>
    </xf>
    <xf numFmtId="177" fontId="21" fillId="0" borderId="29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81" fillId="0" borderId="31" xfId="0" applyNumberFormat="1" applyFont="1" applyFill="1" applyBorder="1" applyAlignment="1">
      <alignment horizontal="right" vertical="center"/>
    </xf>
    <xf numFmtId="177" fontId="81" fillId="0" borderId="32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 quotePrefix="1">
      <alignment horizontal="right" vertical="center"/>
    </xf>
    <xf numFmtId="177" fontId="21" fillId="0" borderId="33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8" fontId="21" fillId="0" borderId="31" xfId="0" applyNumberFormat="1" applyFont="1" applyFill="1" applyBorder="1" applyAlignment="1">
      <alignment horizontal="right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 quotePrefix="1">
      <alignment horizontal="right" vertical="center"/>
    </xf>
    <xf numFmtId="177" fontId="21" fillId="0" borderId="2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 quotePrefix="1">
      <alignment horizontal="right" vertical="center"/>
    </xf>
    <xf numFmtId="177" fontId="21" fillId="0" borderId="36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21" fillId="0" borderId="38" xfId="0" applyNumberFormat="1" applyFont="1" applyFill="1" applyBorder="1" applyAlignment="1">
      <alignment horizontal="right" vertical="center"/>
    </xf>
    <xf numFmtId="204" fontId="21" fillId="0" borderId="33" xfId="0" applyNumberFormat="1" applyFont="1" applyFill="1" applyBorder="1" applyAlignment="1">
      <alignment horizontal="right" vertical="center"/>
    </xf>
    <xf numFmtId="204" fontId="21" fillId="0" borderId="29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9" fontId="21" fillId="0" borderId="29" xfId="0" applyNumberFormat="1" applyFont="1" applyFill="1" applyBorder="1" applyAlignment="1">
      <alignment horizontal="right" vertical="center"/>
    </xf>
    <xf numFmtId="179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7" fontId="82" fillId="0" borderId="31" xfId="0" applyNumberFormat="1" applyFont="1" applyFill="1" applyBorder="1" applyAlignment="1">
      <alignment horizontal="right" vertical="center"/>
    </xf>
    <xf numFmtId="178" fontId="82" fillId="0" borderId="33" xfId="0" applyNumberFormat="1" applyFont="1" applyFill="1" applyBorder="1" applyAlignment="1">
      <alignment horizontal="right" vertical="center"/>
    </xf>
    <xf numFmtId="178" fontId="82" fillId="0" borderId="31" xfId="0" applyNumberFormat="1" applyFont="1" applyFill="1" applyBorder="1" applyAlignment="1">
      <alignment horizontal="right" vertical="center"/>
    </xf>
    <xf numFmtId="177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77" fontId="21" fillId="16" borderId="33" xfId="0" applyNumberFormat="1" applyFont="1" applyFill="1" applyBorder="1" applyAlignment="1">
      <alignment horizontal="right" vertical="center"/>
    </xf>
    <xf numFmtId="177" fontId="21" fillId="16" borderId="30" xfId="0" applyNumberFormat="1" applyFont="1" applyFill="1" applyBorder="1" applyAlignment="1">
      <alignment horizontal="right" vertical="center"/>
    </xf>
    <xf numFmtId="177" fontId="21" fillId="16" borderId="3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33" xfId="0" applyNumberFormat="1" applyFont="1" applyFill="1" applyBorder="1" applyAlignment="1">
      <alignment horizontal="left" vertical="center" wrapText="1"/>
    </xf>
    <xf numFmtId="177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8" fontId="9" fillId="0" borderId="0" xfId="0" applyNumberFormat="1" applyFont="1" applyFill="1" applyBorder="1" applyAlignment="1">
      <alignment horizontal="right" vertical="center"/>
    </xf>
    <xf numFmtId="177" fontId="0" fillId="8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06" fontId="21" fillId="0" borderId="33" xfId="0" applyNumberFormat="1" applyFont="1" applyFill="1" applyBorder="1" applyAlignment="1">
      <alignment horizontal="right" vertical="center"/>
    </xf>
    <xf numFmtId="207" fontId="9" fillId="0" borderId="31" xfId="0" applyNumberFormat="1" applyFont="1" applyFill="1" applyBorder="1" applyAlignment="1">
      <alignment horizontal="right" vertical="center"/>
    </xf>
    <xf numFmtId="207" fontId="0" fillId="0" borderId="35" xfId="0" applyNumberFormat="1" applyFont="1" applyFill="1" applyBorder="1" applyAlignment="1" quotePrefix="1">
      <alignment horizontal="right" vertical="center"/>
    </xf>
    <xf numFmtId="207" fontId="0" fillId="0" borderId="33" xfId="0" applyNumberFormat="1" applyFont="1" applyFill="1" applyBorder="1" applyAlignment="1">
      <alignment horizontal="right" vertical="center"/>
    </xf>
    <xf numFmtId="207" fontId="0" fillId="0" borderId="2" xfId="0" applyNumberFormat="1" applyFont="1" applyFill="1" applyBorder="1" applyAlignment="1">
      <alignment horizontal="right" vertical="center"/>
    </xf>
    <xf numFmtId="207" fontId="82" fillId="0" borderId="2" xfId="0" applyNumberFormat="1" applyFont="1" applyFill="1" applyBorder="1" applyAlignment="1">
      <alignment horizontal="right" vertical="center"/>
    </xf>
    <xf numFmtId="207" fontId="0" fillId="0" borderId="35" xfId="0" applyNumberFormat="1" applyFont="1" applyFill="1" applyBorder="1" applyAlignment="1">
      <alignment horizontal="right" vertical="center"/>
    </xf>
    <xf numFmtId="207" fontId="82" fillId="0" borderId="33" xfId="0" applyNumberFormat="1" applyFont="1" applyFill="1" applyBorder="1" applyAlignment="1">
      <alignment horizontal="right" vertical="center"/>
    </xf>
    <xf numFmtId="207" fontId="10" fillId="0" borderId="33" xfId="0" applyNumberFormat="1" applyFont="1" applyFill="1" applyBorder="1" applyAlignment="1">
      <alignment horizontal="right" vertical="center"/>
    </xf>
    <xf numFmtId="207" fontId="10" fillId="0" borderId="2" xfId="0" applyNumberFormat="1" applyFont="1" applyFill="1" applyBorder="1" applyAlignment="1">
      <alignment horizontal="right" vertical="center"/>
    </xf>
    <xf numFmtId="207" fontId="9" fillId="0" borderId="1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207" fontId="4" fillId="0" borderId="0" xfId="0" applyNumberFormat="1" applyFont="1" applyFill="1" applyBorder="1" applyAlignment="1">
      <alignment horizontal="right" vertical="center"/>
    </xf>
    <xf numFmtId="207" fontId="82" fillId="0" borderId="35" xfId="0" applyNumberFormat="1" applyFont="1" applyFill="1" applyBorder="1" applyAlignment="1">
      <alignment horizontal="right" vertical="center"/>
    </xf>
    <xf numFmtId="207" fontId="10" fillId="0" borderId="38" xfId="0" applyNumberFormat="1" applyFont="1" applyFill="1" applyBorder="1" applyAlignment="1">
      <alignment horizontal="right" vertical="center"/>
    </xf>
    <xf numFmtId="207" fontId="0" fillId="0" borderId="31" xfId="0" applyNumberFormat="1" applyFont="1" applyFill="1" applyBorder="1" applyAlignment="1">
      <alignment horizontal="right" vertical="center"/>
    </xf>
    <xf numFmtId="207" fontId="82" fillId="0" borderId="31" xfId="0" applyNumberFormat="1" applyFont="1" applyFill="1" applyBorder="1" applyAlignment="1">
      <alignment horizontal="right" vertical="center"/>
    </xf>
    <xf numFmtId="207" fontId="10" fillId="0" borderId="0" xfId="0" applyNumberFormat="1" applyFont="1" applyFill="1" applyBorder="1" applyAlignment="1">
      <alignment horizontal="right" vertical="center"/>
    </xf>
    <xf numFmtId="207" fontId="21" fillId="0" borderId="29" xfId="0" applyNumberFormat="1" applyFont="1" applyFill="1" applyBorder="1" applyAlignment="1">
      <alignment horizontal="right" vertical="center"/>
    </xf>
    <xf numFmtId="207" fontId="10" fillId="0" borderId="29" xfId="0" applyNumberFormat="1" applyFont="1" applyFill="1" applyBorder="1" applyAlignment="1">
      <alignment horizontal="right" vertical="center"/>
    </xf>
    <xf numFmtId="207" fontId="21" fillId="0" borderId="30" xfId="0" applyNumberFormat="1" applyFont="1" applyFill="1" applyBorder="1" applyAlignment="1">
      <alignment horizontal="right" vertical="center"/>
    </xf>
    <xf numFmtId="207" fontId="10" fillId="0" borderId="30" xfId="0" applyNumberFormat="1" applyFont="1" applyFill="1" applyBorder="1" applyAlignment="1">
      <alignment horizontal="right" vertical="center"/>
    </xf>
    <xf numFmtId="207" fontId="21" fillId="0" borderId="0" xfId="0" applyNumberFormat="1" applyFont="1" applyFill="1" applyBorder="1" applyAlignment="1">
      <alignment horizontal="right" vertical="center"/>
    </xf>
    <xf numFmtId="207" fontId="10" fillId="0" borderId="35" xfId="0" applyNumberFormat="1" applyFont="1" applyFill="1" applyBorder="1" applyAlignment="1">
      <alignment horizontal="right" vertical="center"/>
    </xf>
    <xf numFmtId="207" fontId="81" fillId="0" borderId="31" xfId="0" applyNumberFormat="1" applyFont="1" applyFill="1" applyBorder="1" applyAlignment="1">
      <alignment horizontal="right" vertical="center"/>
    </xf>
    <xf numFmtId="207" fontId="4" fillId="0" borderId="31" xfId="0" applyNumberFormat="1" applyFont="1" applyFill="1" applyBorder="1" applyAlignment="1">
      <alignment horizontal="right" vertical="center"/>
    </xf>
    <xf numFmtId="207" fontId="21" fillId="0" borderId="2" xfId="0" applyNumberFormat="1" applyFont="1" applyFill="1" applyBorder="1" applyAlignment="1">
      <alignment horizontal="right" vertical="center"/>
    </xf>
    <xf numFmtId="207" fontId="83" fillId="0" borderId="31" xfId="0" applyNumberFormat="1" applyFont="1" applyFill="1" applyBorder="1" applyAlignment="1">
      <alignment horizontal="right" vertical="center"/>
    </xf>
    <xf numFmtId="207" fontId="21" fillId="0" borderId="33" xfId="0" applyNumberFormat="1" applyFont="1" applyFill="1" applyBorder="1" applyAlignment="1">
      <alignment horizontal="right" vertical="center"/>
    </xf>
    <xf numFmtId="207" fontId="0" fillId="16" borderId="2" xfId="325" applyNumberFormat="1" applyFont="1" applyFill="1" applyBorder="1">
      <alignment horizontal="right" vertical="center"/>
    </xf>
    <xf numFmtId="206" fontId="82" fillId="0" borderId="38" xfId="0" applyNumberFormat="1" applyFont="1" applyFill="1" applyBorder="1" applyAlignment="1">
      <alignment horizontal="right" vertical="center"/>
    </xf>
    <xf numFmtId="206" fontId="10" fillId="0" borderId="41" xfId="0" applyNumberFormat="1" applyFont="1" applyFill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9" fillId="0" borderId="31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>
      <alignment horizontal="right" vertical="center"/>
    </xf>
    <xf numFmtId="206" fontId="10" fillId="0" borderId="31" xfId="0" applyNumberFormat="1" applyFont="1" applyFill="1" applyBorder="1" applyAlignment="1">
      <alignment horizontal="right" vertical="center"/>
    </xf>
    <xf numFmtId="206" fontId="21" fillId="0" borderId="3" xfId="0" applyNumberFormat="1" applyFont="1" applyFill="1" applyBorder="1" applyAlignment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10" fillId="0" borderId="30" xfId="0" applyNumberFormat="1" applyFont="1" applyFill="1" applyBorder="1" applyAlignment="1">
      <alignment horizontal="right" vertical="center"/>
    </xf>
    <xf numFmtId="206" fontId="21" fillId="0" borderId="34" xfId="0" applyNumberFormat="1" applyFont="1" applyFill="1" applyBorder="1" applyAlignment="1">
      <alignment horizontal="right" vertical="center"/>
    </xf>
    <xf numFmtId="206" fontId="10" fillId="0" borderId="34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83" fillId="0" borderId="31" xfId="0" applyNumberFormat="1" applyFont="1" applyFill="1" applyBorder="1" applyAlignment="1">
      <alignment horizontal="right" vertical="center"/>
    </xf>
    <xf numFmtId="206" fontId="10" fillId="0" borderId="33" xfId="0" applyNumberFormat="1" applyFont="1" applyFill="1" applyBorder="1" applyAlignment="1">
      <alignment horizontal="right" vertical="center"/>
    </xf>
    <xf numFmtId="206" fontId="10" fillId="16" borderId="35" xfId="0" applyNumberFormat="1" applyFont="1" applyFill="1" applyBorder="1" applyAlignment="1">
      <alignment horizontal="right" vertical="center"/>
    </xf>
    <xf numFmtId="206" fontId="0" fillId="16" borderId="38" xfId="0" applyNumberFormat="1" applyFont="1" applyFill="1" applyBorder="1" applyAlignment="1">
      <alignment horizontal="right" vertical="center"/>
    </xf>
    <xf numFmtId="206" fontId="10" fillId="16" borderId="41" xfId="0" applyNumberFormat="1" applyFont="1" applyFill="1" applyBorder="1" applyAlignment="1">
      <alignment horizontal="right" vertical="center"/>
    </xf>
    <xf numFmtId="206" fontId="21" fillId="16" borderId="3" xfId="0" applyNumberFormat="1" applyFont="1" applyFill="1" applyBorder="1" applyAlignment="1">
      <alignment horizontal="right" vertical="center"/>
    </xf>
    <xf numFmtId="206" fontId="21" fillId="16" borderId="30" xfId="0" applyNumberFormat="1" applyFont="1" applyFill="1" applyBorder="1" applyAlignment="1">
      <alignment horizontal="right" vertical="center"/>
    </xf>
    <xf numFmtId="206" fontId="21" fillId="16" borderId="2" xfId="0" applyNumberFormat="1" applyFont="1" applyFill="1" applyBorder="1" applyAlignment="1">
      <alignment horizontal="right" vertical="center"/>
    </xf>
    <xf numFmtId="206" fontId="0" fillId="16" borderId="35" xfId="0" applyNumberFormat="1" applyFont="1" applyFill="1" applyBorder="1" applyAlignment="1">
      <alignment horizontal="right" vertical="center"/>
    </xf>
    <xf numFmtId="206" fontId="9" fillId="16" borderId="1" xfId="0" applyNumberFormat="1" applyFont="1" applyFill="1" applyBorder="1" applyAlignment="1">
      <alignment horizontal="right" vertical="center"/>
    </xf>
    <xf numFmtId="206" fontId="21" fillId="16" borderId="34" xfId="0" applyNumberFormat="1" applyFont="1" applyFill="1" applyBorder="1" applyAlignment="1">
      <alignment horizontal="right" vertical="center"/>
    </xf>
    <xf numFmtId="206" fontId="21" fillId="16" borderId="38" xfId="0" applyNumberFormat="1" applyFont="1" applyFill="1" applyBorder="1" applyAlignment="1" quotePrefix="1">
      <alignment horizontal="right" vertical="center"/>
    </xf>
    <xf numFmtId="206" fontId="21" fillId="16" borderId="38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9" fillId="0" borderId="1" xfId="0" applyNumberFormat="1" applyFont="1" applyFill="1" applyBorder="1" applyAlignment="1">
      <alignment horizontal="right" vertical="center"/>
    </xf>
    <xf numFmtId="206" fontId="21" fillId="0" borderId="38" xfId="0" applyNumberFormat="1" applyFont="1" applyFill="1" applyBorder="1" applyAlignment="1" quotePrefix="1">
      <alignment horizontal="right" vertical="center"/>
    </xf>
    <xf numFmtId="206" fontId="21" fillId="0" borderId="2" xfId="0" applyNumberFormat="1" applyFont="1" applyFill="1" applyBorder="1" applyAlignment="1">
      <alignment horizontal="right" vertical="center"/>
    </xf>
    <xf numFmtId="206" fontId="0" fillId="16" borderId="3" xfId="0" applyNumberFormat="1" applyFont="1" applyFill="1" applyBorder="1" applyAlignment="1">
      <alignment horizontal="right" vertical="center"/>
    </xf>
    <xf numFmtId="206" fontId="0" fillId="16" borderId="34" xfId="0" applyNumberFormat="1" applyFont="1" applyFill="1" applyBorder="1" applyAlignment="1">
      <alignment horizontal="right" vertical="center"/>
    </xf>
    <xf numFmtId="207" fontId="10" fillId="0" borderId="31" xfId="0" applyNumberFormat="1" applyFont="1" applyFill="1" applyBorder="1" applyAlignment="1">
      <alignment horizontal="right" vertical="center"/>
    </xf>
    <xf numFmtId="204" fontId="10" fillId="0" borderId="42" xfId="0" applyNumberFormat="1" applyFont="1" applyFill="1" applyBorder="1" applyAlignment="1">
      <alignment horizontal="right" vertical="center"/>
    </xf>
    <xf numFmtId="204" fontId="10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4" fontId="0" fillId="0" borderId="42" xfId="0" applyNumberFormat="1" applyFont="1" applyFill="1" applyBorder="1" applyAlignment="1">
      <alignment horizontal="right" vertical="center"/>
    </xf>
    <xf numFmtId="204" fontId="0" fillId="0" borderId="4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208" fontId="21" fillId="16" borderId="29" xfId="0" applyNumberFormat="1" applyFont="1" applyFill="1" applyBorder="1" applyAlignment="1">
      <alignment horizontal="right" vertical="center"/>
    </xf>
    <xf numFmtId="208" fontId="21" fillId="16" borderId="31" xfId="0" applyNumberFormat="1" applyFont="1" applyFill="1" applyBorder="1" applyAlignment="1">
      <alignment horizontal="right" vertical="center"/>
    </xf>
    <xf numFmtId="208" fontId="0" fillId="16" borderId="0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7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82" fillId="0" borderId="35" xfId="0" applyNumberFormat="1" applyFont="1" applyFill="1" applyBorder="1" applyAlignment="1">
      <alignment horizontal="right" vertical="center"/>
    </xf>
    <xf numFmtId="206" fontId="21" fillId="0" borderId="38" xfId="0" applyNumberFormat="1" applyFont="1" applyFill="1" applyBorder="1" applyAlignment="1">
      <alignment horizontal="right" vertical="center"/>
    </xf>
    <xf numFmtId="206" fontId="0" fillId="0" borderId="34" xfId="0" applyNumberFormat="1" applyFont="1" applyFill="1" applyBorder="1" applyAlignment="1">
      <alignment horizontal="right" vertical="center"/>
    </xf>
    <xf numFmtId="200" fontId="21" fillId="0" borderId="0" xfId="295" applyNumberFormat="1" applyFont="1" applyFill="1" applyBorder="1" applyAlignment="1">
      <alignment horizontal="right" vertical="center"/>
    </xf>
    <xf numFmtId="207" fontId="0" fillId="0" borderId="3" xfId="0" applyNumberFormat="1" applyFont="1" applyFill="1" applyBorder="1" applyAlignment="1">
      <alignment horizontal="right" vertical="center"/>
    </xf>
    <xf numFmtId="207" fontId="82" fillId="0" borderId="3" xfId="0" applyNumberFormat="1" applyFont="1" applyFill="1" applyBorder="1" applyAlignment="1">
      <alignment horizontal="right" vertical="center"/>
    </xf>
    <xf numFmtId="207" fontId="0" fillId="0" borderId="3" xfId="325" applyNumberFormat="1" applyFont="1" applyFill="1" applyBorder="1">
      <alignment horizontal="right" vertical="center"/>
    </xf>
    <xf numFmtId="207" fontId="0" fillId="0" borderId="2" xfId="325" applyNumberFormat="1" applyFont="1" applyFill="1" applyBorder="1">
      <alignment horizontal="right" vertical="center"/>
    </xf>
    <xf numFmtId="207" fontId="0" fillId="0" borderId="30" xfId="0" applyNumberFormat="1" applyFont="1" applyFill="1" applyBorder="1" applyAlignment="1">
      <alignment horizontal="right" vertical="center"/>
    </xf>
    <xf numFmtId="207" fontId="82" fillId="0" borderId="30" xfId="0" applyNumberFormat="1" applyFont="1" applyFill="1" applyBorder="1" applyAlignment="1">
      <alignment horizontal="right" vertical="center"/>
    </xf>
    <xf numFmtId="207" fontId="0" fillId="16" borderId="30" xfId="325" applyNumberFormat="1" applyFont="1" applyFill="1" applyBorder="1">
      <alignment horizontal="right" vertical="center"/>
    </xf>
    <xf numFmtId="207" fontId="0" fillId="0" borderId="30" xfId="325" applyNumberFormat="1" applyFont="1" applyFill="1" applyBorder="1">
      <alignment horizontal="right" vertical="center"/>
    </xf>
    <xf numFmtId="207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7" fontId="0" fillId="0" borderId="44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8" fontId="10" fillId="1" borderId="35" xfId="0" applyNumberFormat="1" applyFont="1" applyFill="1" applyBorder="1" applyAlignment="1">
      <alignment horizontal="right" vertical="center"/>
    </xf>
    <xf numFmtId="178" fontId="10" fillId="1" borderId="3" xfId="0" applyNumberFormat="1" applyFont="1" applyFill="1" applyBorder="1" applyAlignment="1">
      <alignment horizontal="right" vertical="center"/>
    </xf>
    <xf numFmtId="178" fontId="10" fillId="1" borderId="30" xfId="0" applyNumberFormat="1" applyFont="1" applyFill="1" applyBorder="1" applyAlignment="1">
      <alignment horizontal="right" vertical="center"/>
    </xf>
    <xf numFmtId="178" fontId="21" fillId="0" borderId="30" xfId="0" applyNumberFormat="1" applyFont="1" applyFill="1" applyBorder="1" applyAlignment="1">
      <alignment horizontal="right" vertical="center"/>
    </xf>
    <xf numFmtId="178" fontId="10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78" fontId="10" fillId="1" borderId="0" xfId="0" applyNumberFormat="1" applyFont="1" applyFill="1" applyBorder="1" applyAlignment="1">
      <alignment horizontal="right" vertical="center"/>
    </xf>
    <xf numFmtId="178" fontId="21" fillId="0" borderId="35" xfId="0" applyNumberFormat="1" applyFont="1" applyFill="1" applyBorder="1" applyAlignment="1">
      <alignment horizontal="right" vertical="center"/>
    </xf>
    <xf numFmtId="178" fontId="10" fillId="1" borderId="34" xfId="0" applyNumberFormat="1" applyFont="1" applyFill="1" applyBorder="1" applyAlignment="1">
      <alignment horizontal="right" vertical="center"/>
    </xf>
    <xf numFmtId="178" fontId="10" fillId="0" borderId="34" xfId="0" applyNumberFormat="1" applyFont="1" applyFill="1" applyBorder="1" applyAlignment="1">
      <alignment horizontal="right" vertical="center"/>
    </xf>
    <xf numFmtId="178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180" fontId="0" fillId="29" borderId="30" xfId="0" applyNumberFormat="1" applyFont="1" applyFill="1" applyBorder="1" applyAlignment="1">
      <alignment horizontal="right" vertical="center"/>
    </xf>
    <xf numFmtId="180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29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80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80" fontId="0" fillId="29" borderId="34" xfId="0" applyNumberFormat="1" applyFont="1" applyFill="1" applyBorder="1" applyAlignment="1">
      <alignment horizontal="right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10" fillId="0" borderId="34" xfId="0" applyNumberFormat="1" applyFont="1" applyFill="1" applyBorder="1" applyAlignment="1">
      <alignment horizontal="right" vertical="center"/>
    </xf>
    <xf numFmtId="0" fontId="83" fillId="29" borderId="31" xfId="0" applyNumberFormat="1" applyFont="1" applyFill="1" applyBorder="1" applyAlignment="1">
      <alignment horizontal="right" vertical="center"/>
    </xf>
    <xf numFmtId="180" fontId="83" fillId="29" borderId="31" xfId="0" applyNumberFormat="1" applyFont="1" applyFill="1" applyBorder="1" applyAlignment="1">
      <alignment horizontal="right" vertical="center"/>
    </xf>
    <xf numFmtId="180" fontId="83" fillId="0" borderId="31" xfId="0" applyNumberFormat="1" applyFont="1" applyFill="1" applyBorder="1" applyAlignment="1">
      <alignment horizontal="right" vertical="center"/>
    </xf>
    <xf numFmtId="178" fontId="10" fillId="0" borderId="35" xfId="0" applyNumberFormat="1" applyFont="1" applyFill="1" applyBorder="1" applyAlignment="1" quotePrefix="1">
      <alignment horizontal="right" vertical="center"/>
    </xf>
    <xf numFmtId="178" fontId="10" fillId="0" borderId="34" xfId="0" applyNumberFormat="1" applyFont="1" applyFill="1" applyBorder="1" applyAlignment="1" quotePrefix="1">
      <alignment horizontal="right" vertical="center"/>
    </xf>
    <xf numFmtId="205" fontId="0" fillId="16" borderId="3" xfId="325" applyNumberFormat="1" applyFont="1" applyFill="1" applyBorder="1">
      <alignment horizontal="right" vertical="center"/>
    </xf>
    <xf numFmtId="178" fontId="10" fillId="0" borderId="3" xfId="0" applyNumberFormat="1" applyFont="1" applyFill="1" applyBorder="1" applyAlignment="1" quotePrefix="1">
      <alignment horizontal="right" vertical="center"/>
    </xf>
    <xf numFmtId="205" fontId="0" fillId="0" borderId="3" xfId="325" applyNumberFormat="1" applyFont="1" applyFill="1" applyBorder="1">
      <alignment horizontal="right" vertical="center"/>
    </xf>
    <xf numFmtId="205" fontId="0" fillId="0" borderId="30" xfId="325" applyNumberFormat="1" applyFont="1" applyFill="1" applyBorder="1">
      <alignment horizontal="right" vertical="center"/>
    </xf>
    <xf numFmtId="205" fontId="0" fillId="16" borderId="2" xfId="325" applyNumberFormat="1" applyFont="1" applyFill="1" applyBorder="1">
      <alignment horizontal="right" vertical="center"/>
    </xf>
    <xf numFmtId="205" fontId="0" fillId="0" borderId="2" xfId="325" applyNumberFormat="1" applyFont="1" applyFill="1" applyBorder="1">
      <alignment horizontal="right" vertical="center"/>
    </xf>
    <xf numFmtId="178" fontId="9" fillId="0" borderId="31" xfId="0" applyNumberFormat="1" applyFont="1" applyFill="1" applyBorder="1" applyAlignment="1">
      <alignment horizontal="right" vertical="center"/>
    </xf>
    <xf numFmtId="178" fontId="21" fillId="0" borderId="33" xfId="0" applyNumberFormat="1" applyFont="1" applyFill="1" applyBorder="1" applyAlignment="1" quotePrefix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78" fontId="21" fillId="0" borderId="45" xfId="0" applyNumberFormat="1" applyFont="1" applyFill="1" applyBorder="1" applyAlignment="1">
      <alignment horizontal="right" vertical="center"/>
    </xf>
    <xf numFmtId="178" fontId="10" fillId="0" borderId="45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178" fontId="21" fillId="0" borderId="4" xfId="0" applyNumberFormat="1" applyFont="1" applyFill="1" applyBorder="1" applyAlignment="1">
      <alignment horizontal="right" vertical="center"/>
    </xf>
    <xf numFmtId="177" fontId="10" fillId="0" borderId="44" xfId="0" applyNumberFormat="1" applyFont="1" applyFill="1" applyBorder="1" applyAlignment="1">
      <alignment horizontal="right" vertical="center"/>
    </xf>
    <xf numFmtId="206" fontId="0" fillId="0" borderId="32" xfId="0" applyNumberFormat="1" applyFont="1" applyFill="1" applyBorder="1" applyAlignment="1">
      <alignment vertical="center"/>
    </xf>
    <xf numFmtId="204" fontId="21" fillId="0" borderId="31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>
      <alignment horizontal="left" vertical="center" wrapText="1"/>
    </xf>
    <xf numFmtId="209" fontId="21" fillId="0" borderId="34" xfId="0" applyNumberFormat="1" applyFont="1" applyFill="1" applyBorder="1" applyAlignment="1">
      <alignment horizontal="right" vertical="center"/>
    </xf>
    <xf numFmtId="209" fontId="0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80" fontId="10" fillId="0" borderId="33" xfId="0" applyNumberFormat="1" applyFont="1" applyFill="1" applyBorder="1" applyAlignment="1">
      <alignment horizontal="right" vertical="center"/>
    </xf>
    <xf numFmtId="178" fontId="95" fillId="0" borderId="33" xfId="0" applyNumberFormat="1" applyFont="1" applyFill="1" applyBorder="1" applyAlignment="1">
      <alignment horizontal="right" vertical="center"/>
    </xf>
    <xf numFmtId="178" fontId="95" fillId="0" borderId="31" xfId="0" applyNumberFormat="1" applyFont="1" applyFill="1" applyBorder="1" applyAlignment="1">
      <alignment horizontal="right" vertical="center"/>
    </xf>
    <xf numFmtId="0" fontId="6" fillId="26" borderId="0" xfId="0" applyNumberFormat="1" applyFont="1" applyFill="1" applyBorder="1" applyAlignment="1">
      <alignment horizontal="center" vertical="center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 quotePrefix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 quotePrefix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8" fontId="0" fillId="0" borderId="33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325" applyNumberFormat="1" applyFont="1" applyFill="1" applyBorder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3" fontId="0" fillId="0" borderId="31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177" fontId="0" fillId="16" borderId="0" xfId="0" applyNumberFormat="1" applyFont="1" applyFill="1" applyBorder="1" applyAlignment="1">
      <alignment horizontal="right" vertical="center"/>
    </xf>
    <xf numFmtId="177" fontId="0" fillId="16" borderId="33" xfId="0" applyNumberFormat="1" applyFont="1" applyFill="1" applyBorder="1" applyAlignment="1">
      <alignment horizontal="right" vertical="center"/>
    </xf>
    <xf numFmtId="0" fontId="0" fillId="29" borderId="33" xfId="0" applyNumberFormat="1" applyFont="1" applyFill="1" applyBorder="1" applyAlignment="1">
      <alignment horizontal="right" vertical="center"/>
    </xf>
    <xf numFmtId="0" fontId="0" fillId="29" borderId="30" xfId="0" applyNumberFormat="1" applyFont="1" applyFill="1" applyBorder="1" applyAlignment="1">
      <alignment horizontal="right" vertical="center"/>
    </xf>
    <xf numFmtId="180" fontId="0" fillId="29" borderId="30" xfId="0" applyNumberFormat="1" applyFont="1" applyFill="1" applyBorder="1" applyAlignment="1">
      <alignment horizontal="right" vertical="center"/>
    </xf>
    <xf numFmtId="180" fontId="0" fillId="29" borderId="34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 quotePrefix="1">
      <alignment horizontal="right" vertical="center"/>
    </xf>
    <xf numFmtId="178" fontId="0" fillId="0" borderId="34" xfId="0" applyNumberFormat="1" applyFont="1" applyFill="1" applyBorder="1" applyAlignment="1" quotePrefix="1">
      <alignment horizontal="right" vertical="center"/>
    </xf>
    <xf numFmtId="178" fontId="0" fillId="0" borderId="45" xfId="0" applyNumberFormat="1" applyFont="1" applyFill="1" applyBorder="1" applyAlignment="1">
      <alignment horizontal="right" vertical="center"/>
    </xf>
    <xf numFmtId="178" fontId="0" fillId="0" borderId="4" xfId="0" applyNumberFormat="1" applyFont="1" applyFill="1" applyBorder="1" applyAlignment="1">
      <alignment horizontal="right" vertical="center"/>
    </xf>
    <xf numFmtId="204" fontId="0" fillId="0" borderId="29" xfId="0" applyNumberFormat="1" applyFont="1" applyFill="1" applyBorder="1" applyAlignment="1">
      <alignment horizontal="right" vertical="center"/>
    </xf>
    <xf numFmtId="204" fontId="0" fillId="0" borderId="42" xfId="0" applyNumberFormat="1" applyFont="1" applyFill="1" applyBorder="1" applyAlignment="1">
      <alignment horizontal="right" vertical="center"/>
    </xf>
    <xf numFmtId="204" fontId="0" fillId="0" borderId="40" xfId="0" applyNumberFormat="1" applyFont="1" applyFill="1" applyBorder="1" applyAlignment="1">
      <alignment horizontal="right" vertical="center"/>
    </xf>
    <xf numFmtId="177" fontId="0" fillId="16" borderId="3" xfId="326" applyNumberFormat="1" applyFont="1" applyFill="1" applyBorder="1">
      <alignment horizontal="right" vertical="center"/>
    </xf>
    <xf numFmtId="177" fontId="0" fillId="0" borderId="3" xfId="326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207" fontId="0" fillId="0" borderId="33" xfId="0" applyNumberFormat="1" applyFont="1" applyFill="1" applyBorder="1" applyAlignment="1">
      <alignment horizontal="right" vertical="center"/>
    </xf>
    <xf numFmtId="207" fontId="0" fillId="0" borderId="2" xfId="0" applyNumberFormat="1" applyFont="1" applyFill="1" applyBorder="1" applyAlignment="1">
      <alignment horizontal="right" vertical="center"/>
    </xf>
    <xf numFmtId="207" fontId="0" fillId="0" borderId="30" xfId="0" applyNumberFormat="1" applyFont="1" applyFill="1" applyBorder="1" applyAlignment="1">
      <alignment horizontal="right" vertical="center"/>
    </xf>
    <xf numFmtId="207" fontId="0" fillId="0" borderId="35" xfId="0" applyNumberFormat="1" applyFont="1" applyFill="1" applyBorder="1" applyAlignment="1">
      <alignment horizontal="right" vertical="center"/>
    </xf>
    <xf numFmtId="207" fontId="0" fillId="0" borderId="3" xfId="0" applyNumberFormat="1" applyFont="1" applyFill="1" applyBorder="1" applyAlignment="1">
      <alignment horizontal="right" vertical="center"/>
    </xf>
    <xf numFmtId="207" fontId="0" fillId="0" borderId="31" xfId="0" applyNumberFormat="1" applyFont="1" applyFill="1" applyBorder="1" applyAlignment="1">
      <alignment horizontal="right" vertical="center"/>
    </xf>
    <xf numFmtId="207" fontId="0" fillId="0" borderId="29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0" fillId="0" borderId="34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16" borderId="38" xfId="0" applyNumberFormat="1" applyFont="1" applyFill="1" applyBorder="1" applyAlignment="1">
      <alignment horizontal="right" vertical="center"/>
    </xf>
    <xf numFmtId="206" fontId="0" fillId="16" borderId="3" xfId="0" applyNumberFormat="1" applyFont="1" applyFill="1" applyBorder="1" applyAlignment="1">
      <alignment horizontal="right" vertical="center"/>
    </xf>
    <xf numFmtId="206" fontId="0" fillId="16" borderId="30" xfId="0" applyNumberFormat="1" applyFont="1" applyFill="1" applyBorder="1" applyAlignment="1">
      <alignment horizontal="right" vertical="center"/>
    </xf>
    <xf numFmtId="206" fontId="0" fillId="16" borderId="2" xfId="0" applyNumberFormat="1" applyFont="1" applyFill="1" applyBorder="1" applyAlignment="1">
      <alignment horizontal="right" vertical="center"/>
    </xf>
    <xf numFmtId="206" fontId="0" fillId="16" borderId="35" xfId="0" applyNumberFormat="1" applyFont="1" applyFill="1" applyBorder="1" applyAlignment="1">
      <alignment horizontal="right" vertical="center"/>
    </xf>
    <xf numFmtId="206" fontId="0" fillId="16" borderId="34" xfId="0" applyNumberFormat="1" applyFont="1" applyFill="1" applyBorder="1" applyAlignment="1">
      <alignment horizontal="right" vertical="center"/>
    </xf>
    <xf numFmtId="206" fontId="0" fillId="16" borderId="41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35" xfId="0" applyNumberFormat="1" applyFont="1" applyFill="1" applyBorder="1" applyAlignment="1">
      <alignment horizontal="right" vertical="center"/>
    </xf>
    <xf numFmtId="178" fontId="0" fillId="0" borderId="34" xfId="0" applyNumberFormat="1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horizontal="right" vertical="center"/>
    </xf>
    <xf numFmtId="177" fontId="96" fillId="0" borderId="31" xfId="0" applyNumberFormat="1" applyFont="1" applyFill="1" applyBorder="1" applyAlignment="1">
      <alignment horizontal="right" vertical="center"/>
    </xf>
    <xf numFmtId="177" fontId="21" fillId="0" borderId="40" xfId="0" applyNumberFormat="1" applyFont="1" applyFill="1" applyBorder="1" applyAlignment="1">
      <alignment horizontal="right" vertical="center"/>
    </xf>
    <xf numFmtId="177" fontId="82" fillId="0" borderId="29" xfId="0" applyNumberFormat="1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7" fontId="82" fillId="0" borderId="0" xfId="0" applyNumberFormat="1" applyFont="1" applyFill="1" applyBorder="1" applyAlignment="1">
      <alignment horizontal="right" vertical="center"/>
    </xf>
    <xf numFmtId="177" fontId="82" fillId="0" borderId="0" xfId="0" applyNumberFormat="1" applyFont="1" applyFill="1" applyBorder="1" applyAlignment="1" quotePrefix="1">
      <alignment horizontal="right" vertical="center"/>
    </xf>
    <xf numFmtId="204" fontId="10" fillId="0" borderId="29" xfId="0" applyNumberFormat="1" applyFont="1" applyFill="1" applyBorder="1" applyAlignment="1">
      <alignment horizontal="right" vertical="center"/>
    </xf>
    <xf numFmtId="209" fontId="21" fillId="0" borderId="33" xfId="0" applyNumberFormat="1" applyFont="1" applyFill="1" applyBorder="1" applyAlignment="1">
      <alignment horizontal="right" vertical="center"/>
    </xf>
    <xf numFmtId="177" fontId="21" fillId="0" borderId="39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 quotePrefix="1">
      <alignment horizontal="right" vertical="center"/>
    </xf>
    <xf numFmtId="207" fontId="0" fillId="0" borderId="35" xfId="0" applyNumberFormat="1" applyFont="1" applyFill="1" applyBorder="1" applyAlignment="1" quotePrefix="1">
      <alignment horizontal="right" vertical="center"/>
    </xf>
    <xf numFmtId="207" fontId="10" fillId="0" borderId="35" xfId="0" applyNumberFormat="1" applyFont="1" applyFill="1" applyBorder="1" applyAlignment="1" quotePrefix="1">
      <alignment horizontal="right" vertical="center"/>
    </xf>
    <xf numFmtId="206" fontId="21" fillId="0" borderId="33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21" fillId="0" borderId="34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206" fontId="0" fillId="0" borderId="41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21" fillId="0" borderId="38" xfId="0" applyNumberFormat="1" applyFont="1" applyFill="1" applyBorder="1" applyAlignment="1" quotePrefix="1">
      <alignment horizontal="right" vertical="center"/>
    </xf>
    <xf numFmtId="206" fontId="21" fillId="0" borderId="3" xfId="0" applyNumberFormat="1" applyFont="1" applyFill="1" applyBorder="1" applyAlignment="1">
      <alignment horizontal="right" vertical="center"/>
    </xf>
    <xf numFmtId="206" fontId="21" fillId="0" borderId="2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7" fontId="21" fillId="0" borderId="33" xfId="0" applyNumberFormat="1" applyFont="1" applyFill="1" applyBorder="1" applyAlignment="1">
      <alignment horizontal="right" vertical="center"/>
    </xf>
    <xf numFmtId="207" fontId="21" fillId="0" borderId="30" xfId="0" applyNumberFormat="1" applyFont="1" applyFill="1" applyBorder="1" applyAlignment="1">
      <alignment horizontal="right" vertical="center"/>
    </xf>
    <xf numFmtId="207" fontId="21" fillId="0" borderId="2" xfId="0" applyNumberFormat="1" applyFont="1" applyFill="1" applyBorder="1" applyAlignment="1">
      <alignment horizontal="right" vertical="center"/>
    </xf>
    <xf numFmtId="177" fontId="21" fillId="0" borderId="33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30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177" fontId="93" fillId="0" borderId="31" xfId="0" applyNumberFormat="1" applyFont="1" applyFill="1" applyBorder="1" applyAlignment="1">
      <alignment horizontal="right" vertical="center"/>
    </xf>
    <xf numFmtId="177" fontId="97" fillId="0" borderId="31" xfId="0" applyNumberFormat="1" applyFont="1" applyFill="1" applyBorder="1" applyAlignment="1">
      <alignment horizontal="right" vertical="center"/>
    </xf>
    <xf numFmtId="177" fontId="0" fillId="1" borderId="31" xfId="0" applyNumberFormat="1" applyFont="1" applyFill="1" applyBorder="1" applyAlignment="1">
      <alignment horizontal="right" vertical="center"/>
    </xf>
    <xf numFmtId="177" fontId="21" fillId="1" borderId="33" xfId="0" applyNumberFormat="1" applyFont="1" applyFill="1" applyBorder="1" applyAlignment="1">
      <alignment horizontal="right" vertical="center"/>
    </xf>
    <xf numFmtId="177" fontId="21" fillId="1" borderId="0" xfId="0" applyNumberFormat="1" applyFont="1" applyFill="1" applyBorder="1" applyAlignment="1">
      <alignment horizontal="right" vertical="center"/>
    </xf>
    <xf numFmtId="177" fontId="21" fillId="1" borderId="30" xfId="0" applyNumberFormat="1" applyFont="1" applyFill="1" applyBorder="1" applyAlignment="1">
      <alignment horizontal="right" vertical="center"/>
    </xf>
    <xf numFmtId="177" fontId="21" fillId="1" borderId="34" xfId="0" applyNumberFormat="1" applyFont="1" applyFill="1" applyBorder="1" applyAlignment="1">
      <alignment horizontal="right" vertical="center"/>
    </xf>
    <xf numFmtId="177" fontId="9" fillId="1" borderId="31" xfId="0" applyNumberFormat="1" applyFont="1" applyFill="1" applyBorder="1" applyAlignment="1">
      <alignment horizontal="right" vertical="center"/>
    </xf>
    <xf numFmtId="177" fontId="21" fillId="1" borderId="3" xfId="0" applyNumberFormat="1" applyFont="1" applyFill="1" applyBorder="1" applyAlignment="1">
      <alignment horizontal="right" vertical="center"/>
    </xf>
    <xf numFmtId="177" fontId="0" fillId="1" borderId="38" xfId="0" applyNumberFormat="1" applyFont="1" applyFill="1" applyBorder="1" applyAlignment="1">
      <alignment horizontal="right" vertical="center"/>
    </xf>
    <xf numFmtId="177" fontId="0" fillId="1" borderId="39" xfId="0" applyNumberFormat="1" applyFont="1" applyFill="1" applyBorder="1" applyAlignment="1">
      <alignment horizontal="right" vertical="center"/>
    </xf>
    <xf numFmtId="177" fontId="0" fillId="1" borderId="44" xfId="0" applyNumberFormat="1" applyFont="1" applyFill="1" applyBorder="1" applyAlignment="1">
      <alignment horizontal="right" vertical="center"/>
    </xf>
    <xf numFmtId="177" fontId="0" fillId="1" borderId="35" xfId="0" applyNumberFormat="1" applyFont="1" applyFill="1" applyBorder="1" applyAlignment="1">
      <alignment horizontal="right" vertical="center"/>
    </xf>
    <xf numFmtId="177" fontId="0" fillId="1" borderId="41" xfId="0" applyNumberFormat="1" applyFont="1" applyFill="1" applyBorder="1" applyAlignment="1">
      <alignment horizontal="right" vertical="center"/>
    </xf>
    <xf numFmtId="178" fontId="10" fillId="1" borderId="35" xfId="0" applyNumberFormat="1" applyFont="1" applyFill="1" applyBorder="1" applyAlignment="1" quotePrefix="1">
      <alignment horizontal="right" vertical="center"/>
    </xf>
    <xf numFmtId="206" fontId="0" fillId="1" borderId="31" xfId="0" applyNumberFormat="1" applyFont="1" applyFill="1" applyBorder="1" applyAlignment="1">
      <alignment horizontal="right" vertical="center"/>
    </xf>
    <xf numFmtId="178" fontId="0" fillId="1" borderId="3" xfId="0" applyNumberFormat="1" applyFont="1" applyFill="1" applyBorder="1" applyAlignment="1" quotePrefix="1">
      <alignment horizontal="right" vertical="center"/>
    </xf>
    <xf numFmtId="178" fontId="0" fillId="1" borderId="34" xfId="0" applyNumberFormat="1" applyFont="1" applyFill="1" applyBorder="1" applyAlignment="1" quotePrefix="1">
      <alignment horizontal="right" vertical="center"/>
    </xf>
    <xf numFmtId="178" fontId="9" fillId="1" borderId="31" xfId="0" applyNumberFormat="1" applyFont="1" applyFill="1" applyBorder="1" applyAlignment="1">
      <alignment horizontal="right" vertical="center"/>
    </xf>
    <xf numFmtId="178" fontId="21" fillId="1" borderId="33" xfId="0" applyNumberFormat="1" applyFont="1" applyFill="1" applyBorder="1" applyAlignment="1" quotePrefix="1">
      <alignment horizontal="right" vertical="center"/>
    </xf>
    <xf numFmtId="178" fontId="21" fillId="1" borderId="3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209" fontId="21" fillId="0" borderId="2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204" fontId="0" fillId="0" borderId="35" xfId="0" applyNumberFormat="1" applyFont="1" applyFill="1" applyBorder="1" applyAlignment="1">
      <alignment horizontal="right" vertical="center"/>
    </xf>
    <xf numFmtId="178" fontId="83" fillId="29" borderId="31" xfId="0" applyNumberFormat="1" applyFont="1" applyFill="1" applyBorder="1" applyAlignment="1">
      <alignment horizontal="right" vertical="center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</cellXfs>
  <cellStyles count="353">
    <cellStyle name="Normal" xfId="0"/>
    <cellStyle name="# Assets" xfId="15"/>
    <cellStyle name="# Assets 2" xfId="16"/>
    <cellStyle name=";;;" xfId="17"/>
    <cellStyle name="?‹æØ‚è [0.00]_Region Orders (2)" xfId="18"/>
    <cellStyle name="?‹æØ‚è_Region Orders (2)" xfId="19"/>
    <cellStyle name="_AM" xfId="20"/>
    <cellStyle name="_AM 2" xfId="21"/>
    <cellStyle name="_Asset Management" xfId="22"/>
    <cellStyle name="_Asset Management 2" xfId="23"/>
    <cellStyle name="_BS_Capital" xfId="24"/>
    <cellStyle name="_BS_Capital 2" xfId="25"/>
    <cellStyle name="_Core Results by region" xfId="26"/>
    <cellStyle name="_Core Results by region 2" xfId="27"/>
    <cellStyle name="_FS 22" xfId="28"/>
    <cellStyle name="_FS 22 (2)" xfId="29"/>
    <cellStyle name="_FS 22 (2) 2" xfId="30"/>
    <cellStyle name="_FS 22 10" xfId="31"/>
    <cellStyle name="_FS 22 11" xfId="32"/>
    <cellStyle name="_FS 22 12" xfId="33"/>
    <cellStyle name="_FS 22 13" xfId="34"/>
    <cellStyle name="_FS 22 14" xfId="35"/>
    <cellStyle name="_FS 22 15" xfId="36"/>
    <cellStyle name="_FS 22 16" xfId="37"/>
    <cellStyle name="_FS 22 2" xfId="38"/>
    <cellStyle name="_FS 22 3" xfId="39"/>
    <cellStyle name="_FS 22 4" xfId="40"/>
    <cellStyle name="_FS 22 5" xfId="41"/>
    <cellStyle name="_FS 22 6" xfId="42"/>
    <cellStyle name="_FS 22 7" xfId="43"/>
    <cellStyle name="_FS 22 8" xfId="44"/>
    <cellStyle name="_FS 22 9" xfId="45"/>
    <cellStyle name="_FS BS" xfId="46"/>
    <cellStyle name="_FS BS 2" xfId="47"/>
    <cellStyle name="_FS CFS" xfId="48"/>
    <cellStyle name="_FS CFS 2" xfId="49"/>
    <cellStyle name="_FS ShEq" xfId="50"/>
    <cellStyle name="_FS ShEq 2" xfId="51"/>
    <cellStyle name="_IB" xfId="52"/>
    <cellStyle name="_IB 2" xfId="53"/>
    <cellStyle name="_Jan04_AUM_final" xfId="54"/>
    <cellStyle name="_KPI_graph-data" xfId="55"/>
    <cellStyle name="_OE" xfId="56"/>
    <cellStyle name="_OE 2" xfId="57"/>
    <cellStyle name="_PB" xfId="58"/>
    <cellStyle name="_PB 2" xfId="59"/>
    <cellStyle name="_PE_gains_Q306_JOD" xfId="60"/>
    <cellStyle name="_Q4P&amp;L-02_08_07" xfId="61"/>
    <cellStyle name="_Reporting Tables_MASTER_Q407" xfId="62"/>
    <cellStyle name="_Reporting Tables_MASTER_Q407 2" xfId="63"/>
    <cellStyle name="’Ê‰Ý [0.00]_Region Orders (2)" xfId="64"/>
    <cellStyle name="’Ê‰Ý_Region Orders (2)" xfId="65"/>
    <cellStyle name="•W?_Pacific Region P&amp;L" xfId="66"/>
    <cellStyle name="•W_Pacific Region P&amp;L" xfId="67"/>
    <cellStyle name="À " xfId="68"/>
    <cellStyle name="1 Blank" xfId="69"/>
    <cellStyle name="1 Header" xfId="70"/>
    <cellStyle name="1 Period 1" xfId="71"/>
    <cellStyle name="1 Period 2" xfId="72"/>
    <cellStyle name="1 Sub-header" xfId="73"/>
    <cellStyle name="2 Line - 1 Dotted" xfId="74"/>
    <cellStyle name="2 Line - 2 Thin" xfId="75"/>
    <cellStyle name="2 Line - 3 Medium" xfId="76"/>
    <cellStyle name="2 Line - 4 Thick" xfId="77"/>
    <cellStyle name="20% - Accent1" xfId="78"/>
    <cellStyle name="20% - Accent1 2" xfId="79"/>
    <cellStyle name="20% - Accent2" xfId="80"/>
    <cellStyle name="20% - Accent2 2" xfId="81"/>
    <cellStyle name="20% - Accent3" xfId="82"/>
    <cellStyle name="20% - Accent3 2" xfId="83"/>
    <cellStyle name="20% - Accent4" xfId="84"/>
    <cellStyle name="20% - Accent4 2" xfId="85"/>
    <cellStyle name="20% - Accent5" xfId="86"/>
    <cellStyle name="20% - Accent5 2" xfId="87"/>
    <cellStyle name="20% - Accent6" xfId="88"/>
    <cellStyle name="20% - Accent6 2" xfId="89"/>
    <cellStyle name="20% - Akzent1" xfId="90"/>
    <cellStyle name="20% - Akzent1 2" xfId="91"/>
    <cellStyle name="20% - Akzent2" xfId="92"/>
    <cellStyle name="20% - Akzent2 2" xfId="93"/>
    <cellStyle name="20% - Akzent3" xfId="94"/>
    <cellStyle name="20% - Akzent3 2" xfId="95"/>
    <cellStyle name="20% - Akzent4" xfId="96"/>
    <cellStyle name="20% - Akzent4 2" xfId="97"/>
    <cellStyle name="20% - Akzent5" xfId="98"/>
    <cellStyle name="20% - Akzent5 2" xfId="99"/>
    <cellStyle name="20% - Akzent6" xfId="100"/>
    <cellStyle name="20% - Akzent6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Akzent1" xfId="114"/>
    <cellStyle name="40% - Akzent1 2" xfId="115"/>
    <cellStyle name="40% - Akzent2" xfId="116"/>
    <cellStyle name="40% - Akzent2 2" xfId="117"/>
    <cellStyle name="40% - Akzent3" xfId="118"/>
    <cellStyle name="40% - Akzent3 2" xfId="119"/>
    <cellStyle name="40% - Akzent4" xfId="120"/>
    <cellStyle name="40% - Akzent4 2" xfId="121"/>
    <cellStyle name="40% - Akzent5" xfId="122"/>
    <cellStyle name="40% - Akzent5 2" xfId="123"/>
    <cellStyle name="40% - Akzent6" xfId="124"/>
    <cellStyle name="40% - Akzent6 2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Akzent1" xfId="132"/>
    <cellStyle name="60% - Akzent2" xfId="133"/>
    <cellStyle name="60% - Akzent3" xfId="134"/>
    <cellStyle name="60% - Akzent4" xfId="135"/>
    <cellStyle name="60% - Akzent5" xfId="136"/>
    <cellStyle name="60% - Akzent6" xfId="137"/>
    <cellStyle name="9065.18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ccounting" xfId="145"/>
    <cellStyle name="Address" xfId="146"/>
    <cellStyle name="Akzent1" xfId="147"/>
    <cellStyle name="Akzent2" xfId="148"/>
    <cellStyle name="Akzent3" xfId="149"/>
    <cellStyle name="Akzent4" xfId="150"/>
    <cellStyle name="Akzent5" xfId="151"/>
    <cellStyle name="Akzent6" xfId="152"/>
    <cellStyle name="args.style" xfId="153"/>
    <cellStyle name="Array" xfId="154"/>
    <cellStyle name="Array Enter" xfId="155"/>
    <cellStyle name="Array Enter 2" xfId="156"/>
    <cellStyle name="Ausgabe" xfId="157"/>
    <cellStyle name="Bad" xfId="158"/>
    <cellStyle name="BasisPoints" xfId="159"/>
    <cellStyle name="Berechnung" xfId="160"/>
    <cellStyle name="Body" xfId="161"/>
    <cellStyle name="Border Heavy" xfId="162"/>
    <cellStyle name="Border Thin" xfId="163"/>
    <cellStyle name="Budget Text" xfId="164"/>
    <cellStyle name="Budget2004" xfId="165"/>
    <cellStyle name="Budget2004 2" xfId="166"/>
    <cellStyle name="Budget2004Number" xfId="167"/>
    <cellStyle name="Budget2004Number 2" xfId="168"/>
    <cellStyle name="Budget2004Text" xfId="169"/>
    <cellStyle name="Budget2004Text 2" xfId="170"/>
    <cellStyle name="Budget2004TextWrap" xfId="171"/>
    <cellStyle name="Budget2004TextWrap 2" xfId="172"/>
    <cellStyle name="C" xfId="173"/>
    <cellStyle name="C 2" xfId="174"/>
    <cellStyle name="Calc Currency (0)" xfId="175"/>
    <cellStyle name="Calc Currency (0) 2" xfId="176"/>
    <cellStyle name="Calculation" xfId="177"/>
    <cellStyle name="Check Cell" xfId="178"/>
    <cellStyle name="City" xfId="179"/>
    <cellStyle name="City 2" xfId="180"/>
    <cellStyle name="col_blue_row" xfId="181"/>
    <cellStyle name="Collateral" xfId="182"/>
    <cellStyle name="Collateral 2" xfId="183"/>
    <cellStyle name="Comma" xfId="184"/>
    <cellStyle name="Comma  - Style1" xfId="185"/>
    <cellStyle name="Comma  - Style2" xfId="186"/>
    <cellStyle name="Comma  - Style3" xfId="187"/>
    <cellStyle name="Comma  - Style4" xfId="188"/>
    <cellStyle name="Comma  - Style5" xfId="189"/>
    <cellStyle name="Comma  - Style6" xfId="190"/>
    <cellStyle name="Comma  - Style7" xfId="191"/>
    <cellStyle name="Comma  - Style8" xfId="192"/>
    <cellStyle name="Comma [0]" xfId="193"/>
    <cellStyle name="Comma [1]" xfId="194"/>
    <cellStyle name="Comma0 - Modelo1" xfId="195"/>
    <cellStyle name="Comma0 - Style1" xfId="196"/>
    <cellStyle name="Comma1 - Modelo2" xfId="197"/>
    <cellStyle name="Comma1 - Style2" xfId="198"/>
    <cellStyle name="Copied" xfId="199"/>
    <cellStyle name="Currency" xfId="200"/>
    <cellStyle name="Currency ($)" xfId="201"/>
    <cellStyle name="Currency [0]" xfId="202"/>
    <cellStyle name="Currency [1]" xfId="203"/>
    <cellStyle name="Date" xfId="204"/>
    <cellStyle name="Date 2" xfId="205"/>
    <cellStyle name="Deal" xfId="206"/>
    <cellStyle name="Deal 2" xfId="207"/>
    <cellStyle name="Detail" xfId="208"/>
    <cellStyle name="Detail 2" xfId="209"/>
    <cellStyle name="Dia" xfId="210"/>
    <cellStyle name="Dollars" xfId="211"/>
    <cellStyle name="Eingabe" xfId="212"/>
    <cellStyle name="Encabez1" xfId="213"/>
    <cellStyle name="Encabez2" xfId="214"/>
    <cellStyle name="Entered" xfId="215"/>
    <cellStyle name="Ergebnis" xfId="216"/>
    <cellStyle name="Erklärender Text" xfId="217"/>
    <cellStyle name="Euro" xfId="218"/>
    <cellStyle name="Event" xfId="219"/>
    <cellStyle name="Explanatory Text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jo" xfId="228"/>
    <cellStyle name="Financial format" xfId="229"/>
    <cellStyle name="Financiero" xfId="230"/>
    <cellStyle name="footer_graph" xfId="231"/>
    <cellStyle name="Footnote_SuperscriptNumber" xfId="232"/>
    <cellStyle name="fussnote_lauftext" xfId="233"/>
    <cellStyle name="G. Hofer" xfId="234"/>
    <cellStyle name="Good" xfId="235"/>
    <cellStyle name="Grey" xfId="236"/>
    <cellStyle name="Grey 2" xfId="237"/>
    <cellStyle name="Gut" xfId="238"/>
    <cellStyle name="header_0_col" xfId="239"/>
    <cellStyle name="Header1" xfId="240"/>
    <cellStyle name="Header2" xfId="241"/>
    <cellStyle name="heading" xfId="242"/>
    <cellStyle name="Heading 1" xfId="243"/>
    <cellStyle name="Heading 2" xfId="244"/>
    <cellStyle name="Heading 3" xfId="245"/>
    <cellStyle name="Heading 4" xfId="246"/>
    <cellStyle name="heading 5" xfId="247"/>
    <cellStyle name="Input" xfId="248"/>
    <cellStyle name="Input [yellow]" xfId="249"/>
    <cellStyle name="Input [yellow] 2" xfId="250"/>
    <cellStyle name="IS Summary" xfId="251"/>
    <cellStyle name="IS Summary 2" xfId="252"/>
    <cellStyle name="KPMG Heading 1" xfId="253"/>
    <cellStyle name="KPMG Heading 2" xfId="254"/>
    <cellStyle name="KPMG Heading 3" xfId="255"/>
    <cellStyle name="KPMG Heading 4" xfId="256"/>
    <cellStyle name="KPMG Normal" xfId="257"/>
    <cellStyle name="KPMG Normal Text" xfId="258"/>
    <cellStyle name="Linked Cell" xfId="259"/>
    <cellStyle name="Loan Amount" xfId="260"/>
    <cellStyle name="Loan Amount 2" xfId="261"/>
    <cellStyle name="Locked" xfId="262"/>
    <cellStyle name="MacroCode" xfId="263"/>
    <cellStyle name="Millares [0]_10 AVERIAS MASIVAS + ANT" xfId="264"/>
    <cellStyle name="Millares_10 AVERIAS MASIVAS + ANT" xfId="265"/>
    <cellStyle name="Milliers [0]_!!!GO" xfId="266"/>
    <cellStyle name="Milliers_!!!GO" xfId="267"/>
    <cellStyle name="Moneda [0]_10 AVERIAS MASIVAS + ANT" xfId="268"/>
    <cellStyle name="Moneda_10 AVERIAS MASIVAS + ANT" xfId="269"/>
    <cellStyle name="Monétaire [0]_!!!GO" xfId="270"/>
    <cellStyle name="Monétaire_!!!GO" xfId="271"/>
    <cellStyle name="Monetario" xfId="272"/>
    <cellStyle name="Multiple" xfId="273"/>
    <cellStyle name="Multiple [0]" xfId="274"/>
    <cellStyle name="Multiple [1]" xfId="275"/>
    <cellStyle name="Multiple_Book2" xfId="276"/>
    <cellStyle name="Neutral" xfId="277"/>
    <cellStyle name="new_section" xfId="278"/>
    <cellStyle name="no dec" xfId="279"/>
    <cellStyle name="Normal - Style1" xfId="280"/>
    <cellStyle name="NorV_x0002_Ã_x0012_ ìÀ _x0012_" xfId="281"/>
    <cellStyle name="Note" xfId="282"/>
    <cellStyle name="Notiz" xfId="283"/>
    <cellStyle name="Notiz 2" xfId="284"/>
    <cellStyle name="nplosion" xfId="285"/>
    <cellStyle name="Number_no_line" xfId="286"/>
    <cellStyle name="nVision" xfId="287"/>
    <cellStyle name="Œ…‹æØ‚è [0.00]_Region Orders (2)" xfId="288"/>
    <cellStyle name="Œ…‹æØ‚è_Region Orders (2)" xfId="289"/>
    <cellStyle name="Output" xfId="290"/>
    <cellStyle name="Page Heading" xfId="291"/>
    <cellStyle name="Page Heading Large" xfId="292"/>
    <cellStyle name="Page Heading Small" xfId="293"/>
    <cellStyle name="per.style" xfId="294"/>
    <cellStyle name="Percent" xfId="295"/>
    <cellStyle name="Percent (0)" xfId="296"/>
    <cellStyle name="Percent (LTV, DSC)" xfId="297"/>
    <cellStyle name="Percent (LTV, DSC) 2" xfId="298"/>
    <cellStyle name="Percent [0]" xfId="299"/>
    <cellStyle name="Percent [1]" xfId="300"/>
    <cellStyle name="Percent [2]" xfId="301"/>
    <cellStyle name="Percent Hard" xfId="302"/>
    <cellStyle name="Pool/Single" xfId="303"/>
    <cellStyle name="Pool/Single 2" xfId="304"/>
    <cellStyle name="Porcentaje" xfId="305"/>
    <cellStyle name="pricing" xfId="306"/>
    <cellStyle name="PSChar" xfId="307"/>
    <cellStyle name="PSChar 2" xfId="308"/>
    <cellStyle name="PSDate" xfId="309"/>
    <cellStyle name="PSDate 2" xfId="310"/>
    <cellStyle name="PSDec" xfId="311"/>
    <cellStyle name="PSDec 2" xfId="312"/>
    <cellStyle name="PSHeading" xfId="313"/>
    <cellStyle name="PSInt" xfId="314"/>
    <cellStyle name="PSInt 2" xfId="315"/>
    <cellStyle name="PSSpacer" xfId="316"/>
    <cellStyle name="PSSpacer 2" xfId="317"/>
    <cellStyle name="R01A" xfId="318"/>
    <cellStyle name="R01B" xfId="319"/>
    <cellStyle name="R02A" xfId="320"/>
    <cellStyle name="Red Text" xfId="321"/>
    <cellStyle name="RevList" xfId="322"/>
    <cellStyle name="RM" xfId="323"/>
    <cellStyle name="row_bold_line" xfId="324"/>
    <cellStyle name="Row_Number" xfId="325"/>
    <cellStyle name="Row_Number 2" xfId="326"/>
    <cellStyle name="Schlecht" xfId="327"/>
    <cellStyle name="Shaded" xfId="328"/>
    <cellStyle name="Size" xfId="329"/>
    <cellStyle name="Size 2" xfId="330"/>
    <cellStyle name="Source" xfId="331"/>
    <cellStyle name="Source 2" xfId="332"/>
    <cellStyle name="Status" xfId="333"/>
    <cellStyle name="Status 2" xfId="334"/>
    <cellStyle name="Stil 1" xfId="335"/>
    <cellStyle name="Stil 1 2" xfId="336"/>
    <cellStyle name="Subtotal" xfId="337"/>
    <cellStyle name="Subtotal 2" xfId="338"/>
    <cellStyle name="superscript" xfId="339"/>
    <cellStyle name="Tabellentext" xfId="340"/>
    <cellStyle name="Table Col Head" xfId="341"/>
    <cellStyle name="Table Sub Head" xfId="342"/>
    <cellStyle name="Table Title" xfId="343"/>
    <cellStyle name="Table Title 2" xfId="344"/>
    <cellStyle name="Table Units" xfId="345"/>
    <cellStyle name="table_body_text" xfId="346"/>
    <cellStyle name="Term" xfId="347"/>
    <cellStyle name="Term 2" xfId="348"/>
    <cellStyle name="Text_no_line" xfId="349"/>
    <cellStyle name="Tickmark" xfId="350"/>
    <cellStyle name="Title" xfId="351"/>
    <cellStyle name="TopGrey" xfId="352"/>
    <cellStyle name="Total" xfId="353"/>
    <cellStyle name="Überschrift" xfId="354"/>
    <cellStyle name="Überschrift 1" xfId="355"/>
    <cellStyle name="Überschrift 2" xfId="356"/>
    <cellStyle name="Überschrift 3" xfId="357"/>
    <cellStyle name="Überschrift 4" xfId="358"/>
    <cellStyle name="Undefiniert" xfId="359"/>
    <cellStyle name="Undefiniert 2" xfId="360"/>
    <cellStyle name="Verknüpfte Zelle" xfId="361"/>
    <cellStyle name="Warnender Text" xfId="362"/>
    <cellStyle name="Warning Text" xfId="363"/>
    <cellStyle name="Year" xfId="364"/>
    <cellStyle name="Zelle überprüfen" xfId="365"/>
    <cellStyle name="標準_Book4" xfId="366"/>
  </cellStyles>
  <dxfs count="24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7" width="11.57421875" style="1" customWidth="1"/>
    <col min="18" max="16384" width="1.7109375" style="1" customWidth="1"/>
  </cols>
  <sheetData>
    <row r="1" spans="1:17" ht="21.75" customHeight="1">
      <c r="A1" s="2"/>
      <c r="B1" s="436" t="s">
        <v>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7.25" customHeight="1">
      <c r="A6" s="7"/>
      <c r="B6" s="13" t="s">
        <v>103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7.25" customHeight="1">
      <c r="A7" s="7"/>
      <c r="B7" s="14" t="s">
        <v>9</v>
      </c>
      <c r="C7" s="313">
        <v>8442</v>
      </c>
      <c r="D7" s="103">
        <v>8536</v>
      </c>
      <c r="E7" s="313">
        <v>6891</v>
      </c>
      <c r="F7" s="103">
        <v>1947</v>
      </c>
      <c r="G7" s="103">
        <v>1202</v>
      </c>
      <c r="H7" s="103">
        <v>1716</v>
      </c>
      <c r="I7" s="103">
        <v>1676</v>
      </c>
      <c r="J7" s="383">
        <f>SUM(F7:I7)</f>
        <v>6541</v>
      </c>
      <c r="K7" s="103">
        <v>1753</v>
      </c>
      <c r="L7" s="103">
        <v>1377</v>
      </c>
      <c r="M7" s="103">
        <v>1646</v>
      </c>
      <c r="N7" s="103">
        <v>1657</v>
      </c>
      <c r="O7" s="383">
        <f>SUM(K7:N7)</f>
        <v>6433</v>
      </c>
      <c r="P7" s="313">
        <v>1884</v>
      </c>
      <c r="Q7" s="313">
        <v>1614</v>
      </c>
    </row>
    <row r="8" spans="1:17" s="18" customFormat="1" ht="17.25" customHeight="1">
      <c r="A8" s="7"/>
      <c r="B8" s="16" t="s">
        <v>10</v>
      </c>
      <c r="C8" s="314">
        <v>18929</v>
      </c>
      <c r="D8" s="104">
        <v>14812</v>
      </c>
      <c r="E8" s="314">
        <v>13750</v>
      </c>
      <c r="F8" s="104">
        <v>3407</v>
      </c>
      <c r="G8" s="104">
        <v>3586</v>
      </c>
      <c r="H8" s="104">
        <v>3258</v>
      </c>
      <c r="I8" s="104">
        <v>3827</v>
      </c>
      <c r="J8" s="51">
        <f>SUM(F8:I8)</f>
        <v>14078</v>
      </c>
      <c r="K8" s="104">
        <v>3671</v>
      </c>
      <c r="L8" s="104">
        <v>3463</v>
      </c>
      <c r="M8" s="104">
        <v>3061</v>
      </c>
      <c r="N8" s="104">
        <v>2757</v>
      </c>
      <c r="O8" s="51">
        <f aca="true" t="shared" si="0" ref="O8:O26">SUM(K8:N8)</f>
        <v>12952</v>
      </c>
      <c r="P8" s="314">
        <v>3172</v>
      </c>
      <c r="Q8" s="314">
        <v>3130</v>
      </c>
    </row>
    <row r="9" spans="1:17" s="18" customFormat="1" ht="17.25" customHeight="1">
      <c r="A9" s="7"/>
      <c r="B9" s="16" t="s">
        <v>11</v>
      </c>
      <c r="C9" s="314">
        <v>6146</v>
      </c>
      <c r="D9" s="104">
        <v>-9880</v>
      </c>
      <c r="E9" s="314">
        <v>12151</v>
      </c>
      <c r="F9" s="104">
        <v>3452</v>
      </c>
      <c r="G9" s="104">
        <v>3628</v>
      </c>
      <c r="H9" s="104">
        <v>943</v>
      </c>
      <c r="I9" s="104">
        <v>1315</v>
      </c>
      <c r="J9" s="51">
        <f aca="true" t="shared" si="1" ref="J9:J26">SUM(F9:I9)</f>
        <v>9338</v>
      </c>
      <c r="K9" s="104">
        <v>2011</v>
      </c>
      <c r="L9" s="104">
        <v>1116</v>
      </c>
      <c r="M9" s="104">
        <v>1920</v>
      </c>
      <c r="N9" s="104">
        <v>-27</v>
      </c>
      <c r="O9" s="51">
        <f t="shared" si="0"/>
        <v>5020</v>
      </c>
      <c r="P9" s="314">
        <v>189</v>
      </c>
      <c r="Q9" s="314">
        <v>1156</v>
      </c>
    </row>
    <row r="10" spans="1:17" s="18" customFormat="1" ht="17.25" customHeight="1">
      <c r="A10" s="7"/>
      <c r="B10" s="19" t="s">
        <v>12</v>
      </c>
      <c r="C10" s="315">
        <v>5804</v>
      </c>
      <c r="D10" s="105">
        <v>-4200</v>
      </c>
      <c r="E10" s="315">
        <v>502</v>
      </c>
      <c r="F10" s="105">
        <v>207</v>
      </c>
      <c r="G10" s="105">
        <v>123</v>
      </c>
      <c r="H10" s="105">
        <v>649</v>
      </c>
      <c r="I10" s="105">
        <v>450</v>
      </c>
      <c r="J10" s="49">
        <f t="shared" si="1"/>
        <v>1429</v>
      </c>
      <c r="K10" s="105">
        <v>721</v>
      </c>
      <c r="L10" s="105">
        <v>936</v>
      </c>
      <c r="M10" s="105">
        <v>62</v>
      </c>
      <c r="N10" s="105">
        <v>101</v>
      </c>
      <c r="O10" s="49">
        <f t="shared" si="0"/>
        <v>1820</v>
      </c>
      <c r="P10" s="315">
        <v>802</v>
      </c>
      <c r="Q10" s="315">
        <v>375</v>
      </c>
    </row>
    <row r="11" spans="1:17" ht="17.25" customHeight="1" thickBot="1">
      <c r="A11" s="7"/>
      <c r="B11" s="21" t="s">
        <v>13</v>
      </c>
      <c r="C11" s="43">
        <f aca="true" t="shared" si="2" ref="C11:I11">SUM(C7:C10)</f>
        <v>39321</v>
      </c>
      <c r="D11" s="43">
        <f t="shared" si="2"/>
        <v>9268</v>
      </c>
      <c r="E11" s="43">
        <f t="shared" si="2"/>
        <v>33294</v>
      </c>
      <c r="F11" s="43">
        <f t="shared" si="2"/>
        <v>9013</v>
      </c>
      <c r="G11" s="43">
        <f t="shared" si="2"/>
        <v>8539</v>
      </c>
      <c r="H11" s="43">
        <f t="shared" si="2"/>
        <v>6566</v>
      </c>
      <c r="I11" s="43">
        <f t="shared" si="2"/>
        <v>7268</v>
      </c>
      <c r="J11" s="43">
        <f t="shared" si="1"/>
        <v>31386</v>
      </c>
      <c r="K11" s="43">
        <f>SUM(K7:K10)</f>
        <v>8156</v>
      </c>
      <c r="L11" s="43">
        <f>SUM(L7:L10)</f>
        <v>6892</v>
      </c>
      <c r="M11" s="43">
        <f>SUM(M7:M10)</f>
        <v>6689</v>
      </c>
      <c r="N11" s="43">
        <f>SUM(N7:N10)</f>
        <v>4488</v>
      </c>
      <c r="O11" s="43">
        <f t="shared" si="0"/>
        <v>26225</v>
      </c>
      <c r="P11" s="43">
        <f>SUM(P7:P10)</f>
        <v>6047</v>
      </c>
      <c r="Q11" s="43">
        <f>SUM(Q7:Q10)</f>
        <v>6275</v>
      </c>
    </row>
    <row r="12" spans="1:17" ht="17.25" customHeight="1" thickBot="1">
      <c r="A12" s="7"/>
      <c r="B12" s="23" t="s">
        <v>14</v>
      </c>
      <c r="C12" s="316">
        <v>240</v>
      </c>
      <c r="D12" s="107">
        <v>813</v>
      </c>
      <c r="E12" s="107">
        <v>506</v>
      </c>
      <c r="F12" s="107">
        <v>-50</v>
      </c>
      <c r="G12" s="107">
        <v>20</v>
      </c>
      <c r="H12" s="107">
        <v>-26</v>
      </c>
      <c r="I12" s="107">
        <v>-23</v>
      </c>
      <c r="J12" s="44">
        <f>SUM(F12:I12)</f>
        <v>-79</v>
      </c>
      <c r="K12" s="107">
        <v>-7</v>
      </c>
      <c r="L12" s="107">
        <v>13</v>
      </c>
      <c r="M12" s="107">
        <v>84</v>
      </c>
      <c r="N12" s="107">
        <v>97</v>
      </c>
      <c r="O12" s="44">
        <f t="shared" si="0"/>
        <v>187</v>
      </c>
      <c r="P12" s="316">
        <v>34</v>
      </c>
      <c r="Q12" s="316">
        <v>25</v>
      </c>
    </row>
    <row r="13" spans="1:17" ht="17.25" customHeight="1">
      <c r="A13" s="7"/>
      <c r="B13" s="19" t="s">
        <v>15</v>
      </c>
      <c r="C13" s="317">
        <v>16098</v>
      </c>
      <c r="D13" s="317">
        <v>13254</v>
      </c>
      <c r="E13" s="317">
        <v>15013</v>
      </c>
      <c r="F13" s="108">
        <v>3893</v>
      </c>
      <c r="G13" s="108">
        <v>3980</v>
      </c>
      <c r="H13" s="108">
        <v>3355</v>
      </c>
      <c r="I13" s="108">
        <v>3371</v>
      </c>
      <c r="J13" s="45">
        <f t="shared" si="1"/>
        <v>14599</v>
      </c>
      <c r="K13" s="108">
        <v>4029</v>
      </c>
      <c r="L13" s="108">
        <v>3096</v>
      </c>
      <c r="M13" s="108">
        <v>3067</v>
      </c>
      <c r="N13" s="108">
        <v>3021</v>
      </c>
      <c r="O13" s="45">
        <f t="shared" si="0"/>
        <v>13213</v>
      </c>
      <c r="P13" s="317">
        <v>3711</v>
      </c>
      <c r="Q13" s="317">
        <v>3005</v>
      </c>
    </row>
    <row r="14" spans="1:17" s="18" customFormat="1" ht="17.25" customHeight="1">
      <c r="A14" s="7"/>
      <c r="B14" s="97" t="s">
        <v>16</v>
      </c>
      <c r="C14" s="318">
        <v>6833</v>
      </c>
      <c r="D14" s="318">
        <v>7809</v>
      </c>
      <c r="E14" s="318">
        <v>7701</v>
      </c>
      <c r="F14" s="121">
        <v>1675</v>
      </c>
      <c r="G14" s="121">
        <v>2061</v>
      </c>
      <c r="H14" s="121">
        <v>1752</v>
      </c>
      <c r="I14" s="121">
        <v>1743</v>
      </c>
      <c r="J14" s="98">
        <f t="shared" si="1"/>
        <v>7231</v>
      </c>
      <c r="K14" s="121">
        <v>1632</v>
      </c>
      <c r="L14" s="121">
        <v>1652</v>
      </c>
      <c r="M14" s="121">
        <v>2209</v>
      </c>
      <c r="N14" s="121">
        <v>1879</v>
      </c>
      <c r="O14" s="98">
        <f t="shared" si="0"/>
        <v>7372</v>
      </c>
      <c r="P14" s="318">
        <v>1653</v>
      </c>
      <c r="Q14" s="318">
        <v>1673</v>
      </c>
    </row>
    <row r="15" spans="1:17" ht="17.25" customHeight="1">
      <c r="A15" s="7"/>
      <c r="B15" s="140" t="s">
        <v>17</v>
      </c>
      <c r="C15" s="319">
        <v>2410</v>
      </c>
      <c r="D15" s="319">
        <v>2294</v>
      </c>
      <c r="E15" s="319">
        <v>1997</v>
      </c>
      <c r="F15" s="382">
        <v>520</v>
      </c>
      <c r="G15" s="382">
        <v>569</v>
      </c>
      <c r="H15" s="382">
        <v>484</v>
      </c>
      <c r="I15" s="382">
        <v>575</v>
      </c>
      <c r="J15" s="384">
        <f t="shared" si="1"/>
        <v>2148</v>
      </c>
      <c r="K15" s="382">
        <v>536</v>
      </c>
      <c r="L15" s="382">
        <v>491</v>
      </c>
      <c r="M15" s="382">
        <v>485</v>
      </c>
      <c r="N15" s="382">
        <v>480</v>
      </c>
      <c r="O15" s="384">
        <f t="shared" si="0"/>
        <v>1992</v>
      </c>
      <c r="P15" s="319">
        <v>451</v>
      </c>
      <c r="Q15" s="319">
        <v>441</v>
      </c>
    </row>
    <row r="16" spans="1:17" s="18" customFormat="1" ht="17.25" customHeight="1">
      <c r="A16" s="7"/>
      <c r="B16" s="19" t="s">
        <v>18</v>
      </c>
      <c r="C16" s="49">
        <f aca="true" t="shared" si="3" ref="C16:H16">+C14+C15</f>
        <v>9243</v>
      </c>
      <c r="D16" s="49">
        <f t="shared" si="3"/>
        <v>10103</v>
      </c>
      <c r="E16" s="49">
        <f t="shared" si="3"/>
        <v>9698</v>
      </c>
      <c r="F16" s="49">
        <f t="shared" si="3"/>
        <v>2195</v>
      </c>
      <c r="G16" s="49">
        <f t="shared" si="3"/>
        <v>2630</v>
      </c>
      <c r="H16" s="49">
        <f t="shared" si="3"/>
        <v>2236</v>
      </c>
      <c r="I16" s="49">
        <v>2318</v>
      </c>
      <c r="J16" s="49">
        <f t="shared" si="1"/>
        <v>9379</v>
      </c>
      <c r="K16" s="49">
        <f>+K14+K15</f>
        <v>2168</v>
      </c>
      <c r="L16" s="49">
        <f>SUM(L14:L15)</f>
        <v>2143</v>
      </c>
      <c r="M16" s="49">
        <f>SUM(M14:M15)</f>
        <v>2694</v>
      </c>
      <c r="N16" s="49">
        <f>SUM(N14:N15)</f>
        <v>2359</v>
      </c>
      <c r="O16" s="49">
        <f t="shared" si="0"/>
        <v>9364</v>
      </c>
      <c r="P16" s="49">
        <f>SUM(P14+P15)</f>
        <v>2104</v>
      </c>
      <c r="Q16" s="49">
        <f>SUM(Q14+Q15)</f>
        <v>2114</v>
      </c>
    </row>
    <row r="17" spans="1:17" ht="17.25" customHeight="1" thickBot="1">
      <c r="A17" s="7"/>
      <c r="B17" s="28" t="s">
        <v>19</v>
      </c>
      <c r="C17" s="43">
        <f aca="true" t="shared" si="4" ref="C17:I17">+C13+C16</f>
        <v>25341</v>
      </c>
      <c r="D17" s="43">
        <f t="shared" si="4"/>
        <v>23357</v>
      </c>
      <c r="E17" s="43">
        <f t="shared" si="4"/>
        <v>24711</v>
      </c>
      <c r="F17" s="43">
        <f t="shared" si="4"/>
        <v>6088</v>
      </c>
      <c r="G17" s="43">
        <f t="shared" si="4"/>
        <v>6610</v>
      </c>
      <c r="H17" s="43">
        <f t="shared" si="4"/>
        <v>5591</v>
      </c>
      <c r="I17" s="43">
        <f t="shared" si="4"/>
        <v>5689</v>
      </c>
      <c r="J17" s="43">
        <f t="shared" si="1"/>
        <v>23978</v>
      </c>
      <c r="K17" s="43">
        <f>+K13+K16</f>
        <v>6197</v>
      </c>
      <c r="L17" s="43">
        <f>+L13+L16</f>
        <v>5239</v>
      </c>
      <c r="M17" s="43">
        <f>+M13+M16</f>
        <v>5761</v>
      </c>
      <c r="N17" s="43">
        <f>+N13+N16</f>
        <v>5380</v>
      </c>
      <c r="O17" s="43">
        <f t="shared" si="0"/>
        <v>22577</v>
      </c>
      <c r="P17" s="43">
        <f>SUM(P13+P16)</f>
        <v>5815</v>
      </c>
      <c r="Q17" s="43">
        <f>SUM(Q13+Q16)</f>
        <v>5119</v>
      </c>
    </row>
    <row r="18" spans="1:17" ht="26.25" thickBot="1">
      <c r="A18" s="7"/>
      <c r="B18" s="125" t="s">
        <v>89</v>
      </c>
      <c r="C18" s="44">
        <f aca="true" t="shared" si="5" ref="C18:I18">+C11-C12-C17</f>
        <v>13740</v>
      </c>
      <c r="D18" s="44">
        <f t="shared" si="5"/>
        <v>-14902</v>
      </c>
      <c r="E18" s="44">
        <f t="shared" si="5"/>
        <v>8077</v>
      </c>
      <c r="F18" s="44">
        <f t="shared" si="5"/>
        <v>2975</v>
      </c>
      <c r="G18" s="44">
        <f t="shared" si="5"/>
        <v>1909</v>
      </c>
      <c r="H18" s="44">
        <f t="shared" si="5"/>
        <v>1001</v>
      </c>
      <c r="I18" s="44">
        <f t="shared" si="5"/>
        <v>1602</v>
      </c>
      <c r="J18" s="44">
        <f t="shared" si="1"/>
        <v>7487</v>
      </c>
      <c r="K18" s="44">
        <f>+K11-K12-K17</f>
        <v>1966</v>
      </c>
      <c r="L18" s="44">
        <f>+L11-L12-L17</f>
        <v>1640</v>
      </c>
      <c r="M18" s="44">
        <f>+M11-M12-M17</f>
        <v>844</v>
      </c>
      <c r="N18" s="44">
        <f>+N11-N12-N17</f>
        <v>-989</v>
      </c>
      <c r="O18" s="44">
        <f t="shared" si="0"/>
        <v>3461</v>
      </c>
      <c r="P18" s="44">
        <f>+P11-P12-P17</f>
        <v>198</v>
      </c>
      <c r="Q18" s="44">
        <f>+Q11-Q12-Q17</f>
        <v>1131</v>
      </c>
    </row>
    <row r="19" spans="1:17" s="18" customFormat="1" ht="21.75" customHeight="1">
      <c r="A19" s="7"/>
      <c r="B19" s="19" t="s">
        <v>87</v>
      </c>
      <c r="C19" s="317">
        <v>1248</v>
      </c>
      <c r="D19" s="317">
        <v>-4596</v>
      </c>
      <c r="E19" s="317">
        <v>1835</v>
      </c>
      <c r="F19" s="108">
        <v>839</v>
      </c>
      <c r="G19" s="108">
        <v>187</v>
      </c>
      <c r="H19" s="108">
        <v>117</v>
      </c>
      <c r="I19" s="108">
        <v>405</v>
      </c>
      <c r="J19" s="45">
        <f t="shared" si="1"/>
        <v>1548</v>
      </c>
      <c r="K19" s="108">
        <v>465</v>
      </c>
      <c r="L19" s="108">
        <v>271</v>
      </c>
      <c r="M19" s="108">
        <v>332</v>
      </c>
      <c r="N19" s="108">
        <v>-397</v>
      </c>
      <c r="O19" s="45">
        <f t="shared" si="0"/>
        <v>671</v>
      </c>
      <c r="P19" s="317">
        <v>-16</v>
      </c>
      <c r="Q19" s="317">
        <v>311</v>
      </c>
    </row>
    <row r="20" spans="1:17" ht="29.25" customHeight="1" thickBot="1">
      <c r="A20" s="7"/>
      <c r="B20" s="126" t="s">
        <v>90</v>
      </c>
      <c r="C20" s="43">
        <f aca="true" t="shared" si="6" ref="C20:I20">+C18-C19</f>
        <v>12492</v>
      </c>
      <c r="D20" s="43">
        <f t="shared" si="6"/>
        <v>-10306</v>
      </c>
      <c r="E20" s="43">
        <f t="shared" si="6"/>
        <v>6242</v>
      </c>
      <c r="F20" s="43">
        <f t="shared" si="6"/>
        <v>2136</v>
      </c>
      <c r="G20" s="43">
        <f t="shared" si="6"/>
        <v>1722</v>
      </c>
      <c r="H20" s="43">
        <f t="shared" si="6"/>
        <v>884</v>
      </c>
      <c r="I20" s="43">
        <f t="shared" si="6"/>
        <v>1197</v>
      </c>
      <c r="J20" s="43">
        <f t="shared" si="1"/>
        <v>5939</v>
      </c>
      <c r="K20" s="43">
        <f>+K18-K19</f>
        <v>1501</v>
      </c>
      <c r="L20" s="43">
        <f>+L18-L19</f>
        <v>1369</v>
      </c>
      <c r="M20" s="43">
        <f>+M18-M19</f>
        <v>512</v>
      </c>
      <c r="N20" s="43">
        <f>+N18-N19</f>
        <v>-592</v>
      </c>
      <c r="O20" s="43">
        <f t="shared" si="0"/>
        <v>2790</v>
      </c>
      <c r="P20" s="43">
        <f>+P18-P19</f>
        <v>214</v>
      </c>
      <c r="Q20" s="43">
        <f>+Q18-Q19</f>
        <v>820</v>
      </c>
    </row>
    <row r="21" spans="1:17" ht="17.25" customHeight="1">
      <c r="A21" s="7"/>
      <c r="B21" s="19" t="s">
        <v>93</v>
      </c>
      <c r="C21" s="335">
        <v>6</v>
      </c>
      <c r="D21" s="335">
        <v>-531</v>
      </c>
      <c r="E21" s="315">
        <v>169</v>
      </c>
      <c r="F21" s="105">
        <v>-19</v>
      </c>
      <c r="G21" s="105">
        <v>0</v>
      </c>
      <c r="H21" s="105">
        <v>0</v>
      </c>
      <c r="I21" s="105">
        <v>0</v>
      </c>
      <c r="J21" s="49">
        <f t="shared" si="1"/>
        <v>-19</v>
      </c>
      <c r="K21" s="105">
        <v>0</v>
      </c>
      <c r="L21" s="105">
        <v>0</v>
      </c>
      <c r="M21" s="105">
        <v>0</v>
      </c>
      <c r="N21" s="105">
        <v>0</v>
      </c>
      <c r="O21" s="49">
        <f t="shared" si="0"/>
        <v>0</v>
      </c>
      <c r="P21" s="315">
        <v>0</v>
      </c>
      <c r="Q21" s="315">
        <v>0</v>
      </c>
    </row>
    <row r="22" spans="1:17" s="18" customFormat="1" ht="17.25" customHeight="1" thickBot="1">
      <c r="A22" s="7"/>
      <c r="B22" s="28" t="s">
        <v>86</v>
      </c>
      <c r="C22" s="43">
        <f>SUM(C20:C21)</f>
        <v>12498</v>
      </c>
      <c r="D22" s="43">
        <f>SUM(D20:D21)</f>
        <v>-10837</v>
      </c>
      <c r="E22" s="43">
        <f>SUM(E20:E21)</f>
        <v>6411</v>
      </c>
      <c r="F22" s="43">
        <f>SUM(F20:F21)</f>
        <v>2117</v>
      </c>
      <c r="G22" s="43">
        <f>SUM(G20:G21)</f>
        <v>1722</v>
      </c>
      <c r="H22" s="43">
        <f>SUM(H20:H21)</f>
        <v>884</v>
      </c>
      <c r="I22" s="43">
        <f>SUM(I20:I21)</f>
        <v>1197</v>
      </c>
      <c r="J22" s="43">
        <f t="shared" si="1"/>
        <v>5920</v>
      </c>
      <c r="K22" s="43">
        <f>SUM(K20:K21)</f>
        <v>1501</v>
      </c>
      <c r="L22" s="43">
        <f>SUM(L20:L21)</f>
        <v>1369</v>
      </c>
      <c r="M22" s="43">
        <f>SUM(M20:M21)</f>
        <v>512</v>
      </c>
      <c r="N22" s="43">
        <f>SUM(N20:N21)</f>
        <v>-592</v>
      </c>
      <c r="O22" s="43">
        <f t="shared" si="0"/>
        <v>2790</v>
      </c>
      <c r="P22" s="43">
        <f>SUM(P20:P21)</f>
        <v>214</v>
      </c>
      <c r="Q22" s="43">
        <f>SUM(Q20:Q21)</f>
        <v>820</v>
      </c>
    </row>
    <row r="23" spans="1:17" s="18" customFormat="1" ht="32.25" customHeight="1">
      <c r="A23" s="7"/>
      <c r="B23" s="146" t="s">
        <v>136</v>
      </c>
      <c r="C23" s="321">
        <v>4738</v>
      </c>
      <c r="D23" s="110">
        <v>-2619</v>
      </c>
      <c r="E23" s="321">
        <v>-313</v>
      </c>
      <c r="F23" s="110">
        <v>62</v>
      </c>
      <c r="G23" s="110">
        <v>129</v>
      </c>
      <c r="H23" s="110">
        <v>275</v>
      </c>
      <c r="I23" s="110">
        <v>356</v>
      </c>
      <c r="J23" s="47">
        <f t="shared" si="1"/>
        <v>822</v>
      </c>
      <c r="K23" s="110">
        <v>362</v>
      </c>
      <c r="L23" s="110">
        <v>601</v>
      </c>
      <c r="M23" s="110">
        <v>-171</v>
      </c>
      <c r="N23" s="110">
        <v>45</v>
      </c>
      <c r="O23" s="47">
        <f t="shared" si="0"/>
        <v>837</v>
      </c>
      <c r="P23" s="321">
        <v>170</v>
      </c>
      <c r="Q23" s="321">
        <v>32</v>
      </c>
    </row>
    <row r="24" spans="1:17" s="18" customFormat="1" ht="31.5" customHeight="1" thickBot="1">
      <c r="A24" s="7"/>
      <c r="B24" s="42" t="s">
        <v>109</v>
      </c>
      <c r="C24" s="43">
        <f aca="true" t="shared" si="7" ref="C24:I24">+C22-C23</f>
        <v>7760</v>
      </c>
      <c r="D24" s="43">
        <f t="shared" si="7"/>
        <v>-8218</v>
      </c>
      <c r="E24" s="43">
        <f t="shared" si="7"/>
        <v>6724</v>
      </c>
      <c r="F24" s="43">
        <f t="shared" si="7"/>
        <v>2055</v>
      </c>
      <c r="G24" s="43">
        <f t="shared" si="7"/>
        <v>1593</v>
      </c>
      <c r="H24" s="43">
        <f t="shared" si="7"/>
        <v>609</v>
      </c>
      <c r="I24" s="43">
        <f t="shared" si="7"/>
        <v>841</v>
      </c>
      <c r="J24" s="43">
        <f t="shared" si="1"/>
        <v>5098</v>
      </c>
      <c r="K24" s="43">
        <f>+K22-K23</f>
        <v>1139</v>
      </c>
      <c r="L24" s="43">
        <f>+L22-L23</f>
        <v>768</v>
      </c>
      <c r="M24" s="43">
        <f>+M22-M23</f>
        <v>683</v>
      </c>
      <c r="N24" s="43">
        <f>+N22-N23</f>
        <v>-637</v>
      </c>
      <c r="O24" s="43">
        <f>SUM(K24:N24)</f>
        <v>1953</v>
      </c>
      <c r="P24" s="43">
        <f>+P22-P23</f>
        <v>44</v>
      </c>
      <c r="Q24" s="43">
        <f>+Q22-Q23</f>
        <v>788</v>
      </c>
    </row>
    <row r="25" spans="1:17" ht="31.5" customHeight="1">
      <c r="A25" s="7"/>
      <c r="B25" s="149" t="s">
        <v>105</v>
      </c>
      <c r="C25" s="148">
        <f>+C20-C23</f>
        <v>7754</v>
      </c>
      <c r="D25" s="148">
        <f>+D20-D23</f>
        <v>-7687</v>
      </c>
      <c r="E25" s="148">
        <f>+E20-E23</f>
        <v>6555</v>
      </c>
      <c r="F25" s="148">
        <f>+F20-F23</f>
        <v>2074</v>
      </c>
      <c r="G25" s="148">
        <f>+G20-G23</f>
        <v>1593</v>
      </c>
      <c r="H25" s="148">
        <f>+H20-H23</f>
        <v>609</v>
      </c>
      <c r="I25" s="148">
        <f>+I20-I23</f>
        <v>841</v>
      </c>
      <c r="J25" s="148">
        <f t="shared" si="1"/>
        <v>5117</v>
      </c>
      <c r="K25" s="148">
        <f>+K20-K23</f>
        <v>1139</v>
      </c>
      <c r="L25" s="148">
        <f>+L20-L23</f>
        <v>768</v>
      </c>
      <c r="M25" s="148">
        <f>+M20-M23</f>
        <v>683</v>
      </c>
      <c r="N25" s="148">
        <f>+N20-N23</f>
        <v>-637</v>
      </c>
      <c r="O25" s="148">
        <f>SUM(K25:N25)</f>
        <v>1953</v>
      </c>
      <c r="P25" s="148">
        <f>+P20-P23</f>
        <v>44</v>
      </c>
      <c r="Q25" s="148">
        <f>+Q20-Q23</f>
        <v>788</v>
      </c>
    </row>
    <row r="26" spans="1:17" s="18" customFormat="1" ht="27.75" customHeight="1" thickBot="1">
      <c r="A26" s="7"/>
      <c r="B26" s="150" t="s">
        <v>111</v>
      </c>
      <c r="C26" s="66">
        <f>+C21</f>
        <v>6</v>
      </c>
      <c r="D26" s="66">
        <f>+D21</f>
        <v>-531</v>
      </c>
      <c r="E26" s="66">
        <f>+E21</f>
        <v>169</v>
      </c>
      <c r="F26" s="66">
        <f>+F21</f>
        <v>-19</v>
      </c>
      <c r="G26" s="66">
        <f>+G21</f>
        <v>0</v>
      </c>
      <c r="H26" s="66">
        <f>+H21</f>
        <v>0</v>
      </c>
      <c r="I26" s="66">
        <f>+I21</f>
        <v>0</v>
      </c>
      <c r="J26" s="66">
        <f t="shared" si="1"/>
        <v>-19</v>
      </c>
      <c r="K26" s="66">
        <f>+K21</f>
        <v>0</v>
      </c>
      <c r="L26" s="66">
        <f>+L21</f>
        <v>0</v>
      </c>
      <c r="M26" s="66">
        <f>+M21</f>
        <v>0</v>
      </c>
      <c r="N26" s="66">
        <f>+N21</f>
        <v>0</v>
      </c>
      <c r="O26" s="66">
        <f t="shared" si="0"/>
        <v>0</v>
      </c>
      <c r="P26" s="66">
        <f>+P21</f>
        <v>0</v>
      </c>
      <c r="Q26" s="66">
        <f>+Q21</f>
        <v>0</v>
      </c>
    </row>
    <row r="27" spans="1:17" ht="12" customHeight="1">
      <c r="A27" s="7"/>
      <c r="B27" s="1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7.25" customHeight="1">
      <c r="A28" s="7"/>
      <c r="B28" s="13" t="s">
        <v>104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7.25" customHeight="1">
      <c r="A29" s="7"/>
      <c r="B29" s="30" t="s">
        <v>40</v>
      </c>
      <c r="C29" s="54">
        <f>+C17/C11*100</f>
        <v>64.4</v>
      </c>
      <c r="D29" s="54">
        <f>+D17/D11*100</f>
        <v>252</v>
      </c>
      <c r="E29" s="54">
        <f>+E17/E11*100</f>
        <v>74.2</v>
      </c>
      <c r="F29" s="54">
        <f>+F17/F11*100</f>
        <v>67.5</v>
      </c>
      <c r="G29" s="54">
        <f>+G17/G11*100</f>
        <v>77.4</v>
      </c>
      <c r="H29" s="54">
        <f>+H17/H11*100</f>
        <v>85.2</v>
      </c>
      <c r="I29" s="54">
        <f>+I17/I11*100</f>
        <v>78.3</v>
      </c>
      <c r="J29" s="54">
        <f>+J17/J11*100</f>
        <v>76.4</v>
      </c>
      <c r="K29" s="54">
        <f>+K17/K11*100</f>
        <v>76</v>
      </c>
      <c r="L29" s="54">
        <f>+L17/L11*100</f>
        <v>76</v>
      </c>
      <c r="M29" s="54">
        <f>+M17/M11*100</f>
        <v>86.1</v>
      </c>
      <c r="N29" s="54">
        <f>+N17/N11*100</f>
        <v>119.9</v>
      </c>
      <c r="O29" s="54">
        <f>+O17/O11*100</f>
        <v>86.1</v>
      </c>
      <c r="P29" s="54">
        <f>+P17/P11*100</f>
        <v>96.2</v>
      </c>
      <c r="Q29" s="54">
        <f>+Q17/Q11*100</f>
        <v>81.6</v>
      </c>
    </row>
    <row r="30" spans="1:17" ht="17.25" customHeight="1">
      <c r="A30" s="7"/>
      <c r="B30" s="30" t="s">
        <v>41</v>
      </c>
      <c r="C30" s="54">
        <f>+C18/C11*100</f>
        <v>34.9</v>
      </c>
      <c r="D30" s="54">
        <f>+D18/D11*100</f>
        <v>-160.8</v>
      </c>
      <c r="E30" s="54">
        <f>+E18/E11*100</f>
        <v>24.3</v>
      </c>
      <c r="F30" s="54">
        <f>+F18/F11*100</f>
        <v>33</v>
      </c>
      <c r="G30" s="54">
        <f>+G18/G11*100</f>
        <v>22.4</v>
      </c>
      <c r="H30" s="54">
        <f>+H18/H11*100</f>
        <v>15.2</v>
      </c>
      <c r="I30" s="54">
        <f>+I18/I11*100</f>
        <v>22</v>
      </c>
      <c r="J30" s="54">
        <f>+J18/J11*100</f>
        <v>23.9</v>
      </c>
      <c r="K30" s="54">
        <f>+K18/K11*100</f>
        <v>24.1</v>
      </c>
      <c r="L30" s="54">
        <f>+L18/L11*100</f>
        <v>23.8</v>
      </c>
      <c r="M30" s="54">
        <f>+M18/M11*100</f>
        <v>12.6</v>
      </c>
      <c r="N30" s="54">
        <f>+N18/N11*100</f>
        <v>-22</v>
      </c>
      <c r="O30" s="54">
        <f>+O18/O11*100</f>
        <v>13.2</v>
      </c>
      <c r="P30" s="54">
        <f>+P18/P11*100</f>
        <v>3.3</v>
      </c>
      <c r="Q30" s="54">
        <f>+Q18/Q11*100</f>
        <v>18</v>
      </c>
    </row>
    <row r="31" spans="1:17" ht="17.25" customHeight="1">
      <c r="A31" s="7"/>
      <c r="B31" s="30" t="s">
        <v>68</v>
      </c>
      <c r="C31" s="54">
        <f>+C19/C18*100</f>
        <v>9.1</v>
      </c>
      <c r="D31" s="54">
        <f>+D19/D18*100</f>
        <v>30.8</v>
      </c>
      <c r="E31" s="54">
        <f>+E19/E18*100</f>
        <v>22.7</v>
      </c>
      <c r="F31" s="54">
        <f>+F19/F18*100</f>
        <v>28.2</v>
      </c>
      <c r="G31" s="54">
        <f>+G19/G18*100</f>
        <v>9.8</v>
      </c>
      <c r="H31" s="54">
        <f>+H19/H18*100</f>
        <v>11.7</v>
      </c>
      <c r="I31" s="54">
        <f>+I19/I18*100</f>
        <v>25.3</v>
      </c>
      <c r="J31" s="54">
        <f>+J19/J18*100</f>
        <v>20.7</v>
      </c>
      <c r="K31" s="54">
        <f>+K19/K18*100</f>
        <v>23.7</v>
      </c>
      <c r="L31" s="54">
        <f>+L19/L18*100</f>
        <v>16.5</v>
      </c>
      <c r="M31" s="54">
        <f>+M19/M18*100</f>
        <v>39.3</v>
      </c>
      <c r="N31" s="54">
        <f>+N19/N18*100</f>
        <v>40.1</v>
      </c>
      <c r="O31" s="54">
        <f>+O19/O18*100</f>
        <v>19.4</v>
      </c>
      <c r="P31" s="54">
        <f>+P19/P18*100</f>
        <v>-8.1</v>
      </c>
      <c r="Q31" s="54">
        <f>+Q19/Q18*100</f>
        <v>27.5</v>
      </c>
    </row>
    <row r="32" spans="1:17" ht="29.25" customHeight="1">
      <c r="A32" s="7"/>
      <c r="B32" s="308" t="s">
        <v>150</v>
      </c>
      <c r="C32" s="54">
        <f>+C25/C11*100</f>
        <v>19.7</v>
      </c>
      <c r="D32" s="54">
        <f>+D25/D11*100</f>
        <v>-82.9</v>
      </c>
      <c r="E32" s="54">
        <f>+E25/E11*100</f>
        <v>19.7</v>
      </c>
      <c r="F32" s="54">
        <f>+F25/F11*100</f>
        <v>23</v>
      </c>
      <c r="G32" s="54">
        <f>+G25/G11*100</f>
        <v>18.7</v>
      </c>
      <c r="H32" s="54">
        <f>+H25/H11*100</f>
        <v>9.3</v>
      </c>
      <c r="I32" s="54">
        <f>+I25/I11*100</f>
        <v>11.6</v>
      </c>
      <c r="J32" s="54">
        <f>+J25/J11*100</f>
        <v>16.3</v>
      </c>
      <c r="K32" s="54">
        <f>+K25/K11*100</f>
        <v>14</v>
      </c>
      <c r="L32" s="54">
        <f>+L25/L11*100</f>
        <v>11.1</v>
      </c>
      <c r="M32" s="54">
        <f>+M25/M11*100</f>
        <v>10.2</v>
      </c>
      <c r="N32" s="54">
        <f>+N25/N11*100</f>
        <v>-14.2</v>
      </c>
      <c r="O32" s="54">
        <f>+O25/O11*100</f>
        <v>7.4</v>
      </c>
      <c r="P32" s="54">
        <f>+P25/P11*100</f>
        <v>0.7</v>
      </c>
      <c r="Q32" s="54">
        <f>+Q25/Q11*100</f>
        <v>12.6</v>
      </c>
    </row>
    <row r="33" spans="1:17" ht="17.25" customHeight="1" thickBot="1">
      <c r="A33" s="7"/>
      <c r="B33" s="61" t="s">
        <v>151</v>
      </c>
      <c r="C33" s="65">
        <f>+C24/C11*100</f>
        <v>19.7</v>
      </c>
      <c r="D33" s="65">
        <f>+D24/D11*100</f>
        <v>-88.7</v>
      </c>
      <c r="E33" s="65">
        <f>+E24/E11*100</f>
        <v>20.2</v>
      </c>
      <c r="F33" s="65">
        <f>+F24/F11*100</f>
        <v>22.8</v>
      </c>
      <c r="G33" s="65">
        <f>+G24/G11*100</f>
        <v>18.7</v>
      </c>
      <c r="H33" s="65">
        <f>+H24/H11*100</f>
        <v>9.3</v>
      </c>
      <c r="I33" s="65">
        <f>+I24/I11*100</f>
        <v>11.6</v>
      </c>
      <c r="J33" s="65">
        <f>+J24/J11*100</f>
        <v>16.2</v>
      </c>
      <c r="K33" s="65">
        <f>+K24/K11*100</f>
        <v>14</v>
      </c>
      <c r="L33" s="65">
        <f>+L24/L11*100</f>
        <v>11.1</v>
      </c>
      <c r="M33" s="65">
        <f>+M24/M11*100</f>
        <v>10.2</v>
      </c>
      <c r="N33" s="65">
        <f>+N24/N11*100</f>
        <v>-14.2</v>
      </c>
      <c r="O33" s="65">
        <f>+O24/O11*100</f>
        <v>7.4</v>
      </c>
      <c r="P33" s="65">
        <f>+P24/P11*100</f>
        <v>0.7</v>
      </c>
      <c r="Q33" s="65">
        <f>+Q24/Q11*100</f>
        <v>12.6</v>
      </c>
    </row>
    <row r="34" spans="1:17" ht="11.25" customHeight="1">
      <c r="A34" s="7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7.25" customHeight="1">
      <c r="A35" s="7"/>
      <c r="B35" s="13" t="s">
        <v>42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18" customFormat="1" ht="27.75" customHeight="1">
      <c r="A36" s="7"/>
      <c r="B36" s="130" t="s">
        <v>95</v>
      </c>
      <c r="C36" s="233">
        <v>7.06</v>
      </c>
      <c r="D36" s="131">
        <v>-7.51</v>
      </c>
      <c r="E36" s="131">
        <v>5.14</v>
      </c>
      <c r="F36" s="131">
        <v>1.66</v>
      </c>
      <c r="G36" s="131">
        <v>1.15</v>
      </c>
      <c r="H36" s="131">
        <v>0.48</v>
      </c>
      <c r="I36" s="131">
        <v>0.59</v>
      </c>
      <c r="J36" s="131">
        <v>3.93</v>
      </c>
      <c r="K36" s="131">
        <v>0.91</v>
      </c>
      <c r="L36" s="131">
        <v>0.48</v>
      </c>
      <c r="M36" s="131">
        <v>0.54</v>
      </c>
      <c r="N36" s="131">
        <v>-0.62</v>
      </c>
      <c r="O36" s="131">
        <v>1.37</v>
      </c>
      <c r="P36" s="131">
        <v>0.03</v>
      </c>
      <c r="Q36" s="131">
        <v>0.48</v>
      </c>
    </row>
    <row r="37" spans="1:17" s="18" customFormat="1" ht="18" customHeight="1" thickBot="1">
      <c r="A37" s="7"/>
      <c r="B37" s="61" t="s">
        <v>96</v>
      </c>
      <c r="C37" s="234">
        <v>7.07</v>
      </c>
      <c r="D37" s="132">
        <v>-8.01</v>
      </c>
      <c r="E37" s="132">
        <v>5.28</v>
      </c>
      <c r="F37" s="132">
        <v>1.64</v>
      </c>
      <c r="G37" s="132">
        <v>1.15</v>
      </c>
      <c r="H37" s="132">
        <v>0.48</v>
      </c>
      <c r="I37" s="132">
        <v>0.59</v>
      </c>
      <c r="J37" s="132">
        <v>3.91</v>
      </c>
      <c r="K37" s="132">
        <v>0.91</v>
      </c>
      <c r="L37" s="132">
        <v>0.48</v>
      </c>
      <c r="M37" s="132">
        <v>0.54</v>
      </c>
      <c r="N37" s="132">
        <v>-0.62</v>
      </c>
      <c r="O37" s="132">
        <v>1.37</v>
      </c>
      <c r="P37" s="132">
        <v>0.03</v>
      </c>
      <c r="Q37" s="132">
        <v>0.48</v>
      </c>
    </row>
    <row r="38" spans="1:17" s="18" customFormat="1" ht="17.25" customHeight="1">
      <c r="A38" s="7"/>
      <c r="B38" s="12"/>
      <c r="C38" s="235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</row>
    <row r="39" spans="1:17" s="18" customFormat="1" ht="27.75" customHeight="1">
      <c r="A39" s="7"/>
      <c r="B39" s="130" t="s">
        <v>97</v>
      </c>
      <c r="C39" s="233">
        <v>6.77</v>
      </c>
      <c r="D39" s="131">
        <v>-7.51</v>
      </c>
      <c r="E39" s="131">
        <v>5.01</v>
      </c>
      <c r="F39" s="131">
        <v>1.65</v>
      </c>
      <c r="G39" s="131">
        <v>1.15</v>
      </c>
      <c r="H39" s="131">
        <v>0.48</v>
      </c>
      <c r="I39" s="131">
        <v>0.59</v>
      </c>
      <c r="J39" s="131">
        <v>3.91</v>
      </c>
      <c r="K39" s="131">
        <v>0.9</v>
      </c>
      <c r="L39" s="131">
        <v>0.48</v>
      </c>
      <c r="M39" s="131">
        <v>0.53</v>
      </c>
      <c r="N39" s="131">
        <v>-0.62</v>
      </c>
      <c r="O39" s="131">
        <v>1.36</v>
      </c>
      <c r="P39" s="131">
        <v>0.03</v>
      </c>
      <c r="Q39" s="131">
        <v>0.46</v>
      </c>
    </row>
    <row r="40" spans="1:17" s="18" customFormat="1" ht="21" customHeight="1" thickBot="1">
      <c r="A40" s="7"/>
      <c r="B40" s="61" t="s">
        <v>98</v>
      </c>
      <c r="C40" s="234">
        <v>6.78</v>
      </c>
      <c r="D40" s="132">
        <v>-8.01</v>
      </c>
      <c r="E40" s="132">
        <v>5.14</v>
      </c>
      <c r="F40" s="132">
        <v>1.63</v>
      </c>
      <c r="G40" s="132">
        <v>1.15</v>
      </c>
      <c r="H40" s="132">
        <v>0.48</v>
      </c>
      <c r="I40" s="132">
        <v>0.59</v>
      </c>
      <c r="J40" s="132">
        <v>3.89</v>
      </c>
      <c r="K40" s="132">
        <v>0.9</v>
      </c>
      <c r="L40" s="132">
        <v>0.48</v>
      </c>
      <c r="M40" s="132">
        <v>0.53</v>
      </c>
      <c r="N40" s="132">
        <v>-0.62</v>
      </c>
      <c r="O40" s="132">
        <v>1.36</v>
      </c>
      <c r="P40" s="132">
        <v>0.03</v>
      </c>
      <c r="Q40" s="132">
        <v>0.46</v>
      </c>
    </row>
    <row r="41" spans="1:17" ht="17.25" customHeight="1">
      <c r="A41" s="7"/>
      <c r="B41" s="11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7.25" customHeight="1">
      <c r="A42" s="7"/>
      <c r="B42" s="13" t="s">
        <v>43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7.25" customHeight="1">
      <c r="A43" s="7"/>
      <c r="B43" s="24" t="s">
        <v>44</v>
      </c>
      <c r="C43" s="323" t="s">
        <v>194</v>
      </c>
      <c r="D43" s="323" t="s">
        <v>194</v>
      </c>
      <c r="E43" s="323">
        <v>1031427</v>
      </c>
      <c r="F43" s="109">
        <v>1073803</v>
      </c>
      <c r="G43" s="109">
        <v>1137948</v>
      </c>
      <c r="H43" s="109">
        <v>1067388</v>
      </c>
      <c r="I43" s="109">
        <v>1032005</v>
      </c>
      <c r="J43" s="46">
        <f aca="true" t="shared" si="8" ref="J43:J48">+I43</f>
        <v>1032005</v>
      </c>
      <c r="K43" s="109">
        <v>1016468</v>
      </c>
      <c r="L43" s="109">
        <v>976923</v>
      </c>
      <c r="M43" s="109">
        <v>1061521</v>
      </c>
      <c r="N43" s="109">
        <v>1049165</v>
      </c>
      <c r="O43" s="46">
        <f aca="true" t="shared" si="9" ref="O43:O48">+N43</f>
        <v>1049165</v>
      </c>
      <c r="P43" s="323">
        <v>1000020</v>
      </c>
      <c r="Q43" s="323">
        <v>1043455</v>
      </c>
    </row>
    <row r="44" spans="1:17" ht="17.25" customHeight="1">
      <c r="A44" s="7"/>
      <c r="B44" s="30" t="s">
        <v>45</v>
      </c>
      <c r="C44" s="323">
        <v>240534</v>
      </c>
      <c r="D44" s="323">
        <v>235797</v>
      </c>
      <c r="E44" s="323">
        <v>237180</v>
      </c>
      <c r="F44" s="109">
        <v>228741</v>
      </c>
      <c r="G44" s="109">
        <v>227205</v>
      </c>
      <c r="H44" s="109">
        <v>222660</v>
      </c>
      <c r="I44" s="109">
        <v>218842</v>
      </c>
      <c r="J44" s="46">
        <f t="shared" si="8"/>
        <v>218842</v>
      </c>
      <c r="K44" s="109">
        <v>222510</v>
      </c>
      <c r="L44" s="109">
        <v>220030</v>
      </c>
      <c r="M44" s="109">
        <v>226447</v>
      </c>
      <c r="N44" s="109">
        <v>233413</v>
      </c>
      <c r="O44" s="46">
        <f t="shared" si="9"/>
        <v>233413</v>
      </c>
      <c r="P44" s="323">
        <v>231696</v>
      </c>
      <c r="Q44" s="323">
        <v>239164</v>
      </c>
    </row>
    <row r="45" spans="1:17" ht="17.25" customHeight="1">
      <c r="A45" s="7"/>
      <c r="B45" s="30" t="s">
        <v>48</v>
      </c>
      <c r="C45" s="324">
        <v>43199</v>
      </c>
      <c r="D45" s="324">
        <v>32302</v>
      </c>
      <c r="E45" s="324">
        <v>37517</v>
      </c>
      <c r="F45" s="111">
        <v>36815</v>
      </c>
      <c r="G45" s="111">
        <v>35633</v>
      </c>
      <c r="H45" s="111">
        <v>34088</v>
      </c>
      <c r="I45" s="111">
        <v>33282</v>
      </c>
      <c r="J45" s="53">
        <f t="shared" si="8"/>
        <v>33282</v>
      </c>
      <c r="K45" s="111">
        <v>34057</v>
      </c>
      <c r="L45" s="111">
        <v>31216</v>
      </c>
      <c r="M45" s="111">
        <v>33519</v>
      </c>
      <c r="N45" s="111">
        <v>33674</v>
      </c>
      <c r="O45" s="53">
        <f t="shared" si="9"/>
        <v>33674</v>
      </c>
      <c r="P45" s="324">
        <v>33585</v>
      </c>
      <c r="Q45" s="324">
        <v>34774</v>
      </c>
    </row>
    <row r="46" spans="1:17" ht="17.25" customHeight="1">
      <c r="A46" s="7"/>
      <c r="B46" s="30" t="s">
        <v>46</v>
      </c>
      <c r="C46" s="323">
        <v>10882</v>
      </c>
      <c r="D46" s="323">
        <v>9330</v>
      </c>
      <c r="E46" s="323">
        <v>9267</v>
      </c>
      <c r="F46" s="109">
        <v>9399</v>
      </c>
      <c r="G46" s="109">
        <v>9582</v>
      </c>
      <c r="H46" s="109">
        <v>8874</v>
      </c>
      <c r="I46" s="109">
        <v>8585</v>
      </c>
      <c r="J46" s="46">
        <f t="shared" si="8"/>
        <v>8585</v>
      </c>
      <c r="K46" s="109">
        <v>8433</v>
      </c>
      <c r="L46" s="109">
        <v>7908</v>
      </c>
      <c r="M46" s="109">
        <v>8361</v>
      </c>
      <c r="N46" s="109">
        <v>8591</v>
      </c>
      <c r="O46" s="46">
        <f t="shared" si="9"/>
        <v>8591</v>
      </c>
      <c r="P46" s="323">
        <v>8333</v>
      </c>
      <c r="Q46" s="323">
        <v>8665</v>
      </c>
    </row>
    <row r="47" spans="1:17" ht="17.25" customHeight="1">
      <c r="A47" s="7"/>
      <c r="B47" s="30" t="s">
        <v>47</v>
      </c>
      <c r="C47" s="324">
        <v>444</v>
      </c>
      <c r="D47" s="324">
        <v>423</v>
      </c>
      <c r="E47" s="324">
        <v>328</v>
      </c>
      <c r="F47" s="111">
        <v>398</v>
      </c>
      <c r="G47" s="111">
        <v>377</v>
      </c>
      <c r="H47" s="111">
        <v>340</v>
      </c>
      <c r="I47" s="111">
        <v>312</v>
      </c>
      <c r="J47" s="69">
        <f t="shared" si="8"/>
        <v>312</v>
      </c>
      <c r="K47" s="111">
        <v>294</v>
      </c>
      <c r="L47" s="111">
        <v>281</v>
      </c>
      <c r="M47" s="111">
        <v>269</v>
      </c>
      <c r="N47" s="111">
        <v>288</v>
      </c>
      <c r="O47" s="69">
        <f t="shared" si="9"/>
        <v>288</v>
      </c>
      <c r="P47" s="324">
        <v>260</v>
      </c>
      <c r="Q47" s="324">
        <v>278</v>
      </c>
    </row>
    <row r="48" spans="1:17" ht="17.25" customHeight="1" thickBot="1">
      <c r="A48" s="7"/>
      <c r="B48" s="61" t="s">
        <v>49</v>
      </c>
      <c r="C48" s="327">
        <v>31873</v>
      </c>
      <c r="D48" s="66">
        <f aca="true" t="shared" si="10" ref="D48:I48">+D45-D46-D47</f>
        <v>22549</v>
      </c>
      <c r="E48" s="66">
        <f t="shared" si="10"/>
        <v>27922</v>
      </c>
      <c r="F48" s="66">
        <f t="shared" si="10"/>
        <v>27018</v>
      </c>
      <c r="G48" s="66">
        <f t="shared" si="10"/>
        <v>25674</v>
      </c>
      <c r="H48" s="66">
        <f t="shared" si="10"/>
        <v>24874</v>
      </c>
      <c r="I48" s="66">
        <f t="shared" si="10"/>
        <v>24385</v>
      </c>
      <c r="J48" s="66">
        <f t="shared" si="8"/>
        <v>24385</v>
      </c>
      <c r="K48" s="66">
        <f>+K45-K46-K47</f>
        <v>25330</v>
      </c>
      <c r="L48" s="66">
        <f>+L45-L46-L47</f>
        <v>23027</v>
      </c>
      <c r="M48" s="66">
        <f>+M45-M46-M47</f>
        <v>24889</v>
      </c>
      <c r="N48" s="66">
        <f>+N45-N46-N47</f>
        <v>24795</v>
      </c>
      <c r="O48" s="66">
        <f t="shared" si="9"/>
        <v>24795</v>
      </c>
      <c r="P48" s="66">
        <f>+P45-P46-P47</f>
        <v>24992</v>
      </c>
      <c r="Q48" s="66">
        <f>+Q45-Q46-Q47</f>
        <v>25831</v>
      </c>
    </row>
    <row r="49" spans="1:17" ht="11.25" customHeight="1">
      <c r="A49" s="7"/>
      <c r="B49" s="1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7.25" customHeight="1">
      <c r="A50" s="7"/>
      <c r="B50" s="13" t="s">
        <v>50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27.75" customHeight="1">
      <c r="A51" s="7"/>
      <c r="B51" s="147" t="s">
        <v>107</v>
      </c>
      <c r="C51" s="85">
        <v>18</v>
      </c>
      <c r="D51" s="85">
        <v>-21.1</v>
      </c>
      <c r="E51" s="85">
        <v>18.3</v>
      </c>
      <c r="F51" s="85">
        <v>22.3</v>
      </c>
      <c r="G51" s="85">
        <v>17.8</v>
      </c>
      <c r="H51" s="85">
        <v>7</v>
      </c>
      <c r="I51" s="85">
        <v>9.8</v>
      </c>
      <c r="J51" s="85">
        <v>14.4</v>
      </c>
      <c r="K51" s="85">
        <v>13.4</v>
      </c>
      <c r="L51" s="85">
        <v>9.7</v>
      </c>
      <c r="M51" s="85">
        <v>8.7</v>
      </c>
      <c r="N51" s="85">
        <v>-7.7</v>
      </c>
      <c r="O51" s="85">
        <v>6</v>
      </c>
      <c r="P51" s="85">
        <v>0.5</v>
      </c>
      <c r="Q51" s="85">
        <v>9.2</v>
      </c>
    </row>
    <row r="52" spans="1:17" ht="29.25" customHeight="1" thickBot="1">
      <c r="A52" s="7"/>
      <c r="B52" s="127" t="s">
        <v>108</v>
      </c>
      <c r="C52" s="113">
        <v>24.5</v>
      </c>
      <c r="D52" s="113">
        <v>-29.3</v>
      </c>
      <c r="E52" s="113">
        <v>25.1</v>
      </c>
      <c r="F52" s="113">
        <v>30.4</v>
      </c>
      <c r="G52" s="113">
        <v>24.8</v>
      </c>
      <c r="H52" s="113">
        <v>9.7</v>
      </c>
      <c r="I52" s="113">
        <v>13.4</v>
      </c>
      <c r="J52" s="113">
        <v>19.8</v>
      </c>
      <c r="K52" s="113">
        <v>18.1</v>
      </c>
      <c r="L52" s="113">
        <v>13.1</v>
      </c>
      <c r="M52" s="113">
        <v>11.8</v>
      </c>
      <c r="N52" s="113">
        <v>-10.4</v>
      </c>
      <c r="O52" s="113">
        <v>8.1</v>
      </c>
      <c r="P52" s="113">
        <v>0.7</v>
      </c>
      <c r="Q52" s="113">
        <v>12.5</v>
      </c>
    </row>
    <row r="53" spans="1:17" ht="17.25" customHeight="1">
      <c r="A53" s="7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7.25" customHeight="1">
      <c r="A54" s="7"/>
      <c r="B54" s="13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7.25" customHeight="1">
      <c r="A55" s="7"/>
      <c r="B55" s="24" t="s">
        <v>52</v>
      </c>
      <c r="C55" s="67">
        <f aca="true" t="shared" si="11" ref="C55:H55">+C45/C61</f>
        <v>42.33</v>
      </c>
      <c r="D55" s="67">
        <f t="shared" si="11"/>
        <v>27.75</v>
      </c>
      <c r="E55" s="67">
        <f t="shared" si="11"/>
        <v>32.09</v>
      </c>
      <c r="F55" s="67">
        <f t="shared" si="11"/>
        <v>31.88</v>
      </c>
      <c r="G55" s="67">
        <f t="shared" si="11"/>
        <v>30.04</v>
      </c>
      <c r="H55" s="67">
        <f t="shared" si="11"/>
        <v>28.78</v>
      </c>
      <c r="I55" s="67">
        <f aca="true" t="shared" si="12" ref="I55:O55">+I45/I61</f>
        <v>28.35</v>
      </c>
      <c r="J55" s="67">
        <f t="shared" si="12"/>
        <v>28.35</v>
      </c>
      <c r="K55" s="67">
        <f>+K45/K61</f>
        <v>28.36</v>
      </c>
      <c r="L55" s="67">
        <f t="shared" si="12"/>
        <v>26.03</v>
      </c>
      <c r="M55" s="67">
        <f t="shared" si="12"/>
        <v>27.86</v>
      </c>
      <c r="N55" s="67">
        <f>+N45/N61</f>
        <v>27.59</v>
      </c>
      <c r="O55" s="67">
        <f t="shared" si="12"/>
        <v>27.59</v>
      </c>
      <c r="P55" s="67">
        <f>+P45/P61</f>
        <v>27.43</v>
      </c>
      <c r="Q55" s="67">
        <f>+Q45/Q61</f>
        <v>27.1</v>
      </c>
    </row>
    <row r="56" spans="1:17" ht="17.25" customHeight="1" thickBot="1">
      <c r="A56" s="7"/>
      <c r="B56" s="61" t="s">
        <v>53</v>
      </c>
      <c r="C56" s="72">
        <v>31.23</v>
      </c>
      <c r="D56" s="72">
        <v>19.37</v>
      </c>
      <c r="E56" s="72">
        <v>23.88</v>
      </c>
      <c r="F56" s="72">
        <v>23.4</v>
      </c>
      <c r="G56" s="72">
        <v>21.65</v>
      </c>
      <c r="H56" s="72">
        <v>21</v>
      </c>
      <c r="I56" s="72">
        <v>20.77</v>
      </c>
      <c r="J56" s="72">
        <v>20.77</v>
      </c>
      <c r="K56" s="72">
        <v>21.1</v>
      </c>
      <c r="L56" s="72">
        <v>19.21</v>
      </c>
      <c r="M56" s="72">
        <v>20.69</v>
      </c>
      <c r="N56" s="72">
        <v>20.32</v>
      </c>
      <c r="O56" s="72">
        <v>20.32</v>
      </c>
      <c r="P56" s="72">
        <v>20.41</v>
      </c>
      <c r="Q56" s="72">
        <v>20.13</v>
      </c>
    </row>
    <row r="57" spans="1:17" ht="13.5" customHeight="1">
      <c r="A57" s="7"/>
      <c r="B57" s="1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7.25" customHeight="1">
      <c r="A58" s="7"/>
      <c r="B58" s="13" t="s">
        <v>54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7.25" customHeight="1">
      <c r="A59" s="7"/>
      <c r="B59" s="24" t="s">
        <v>65</v>
      </c>
      <c r="C59" s="325">
        <v>1162.4</v>
      </c>
      <c r="D59" s="325">
        <v>1184.6</v>
      </c>
      <c r="E59" s="325">
        <v>1185.4</v>
      </c>
      <c r="F59" s="85">
        <v>1185.8</v>
      </c>
      <c r="G59" s="85">
        <v>1186.1</v>
      </c>
      <c r="H59" s="85">
        <v>1186.1</v>
      </c>
      <c r="I59" s="85">
        <v>1186.1</v>
      </c>
      <c r="J59" s="60">
        <f>+I59</f>
        <v>1186.1</v>
      </c>
      <c r="K59" s="85">
        <v>1201</v>
      </c>
      <c r="L59" s="85">
        <v>1202.2</v>
      </c>
      <c r="M59" s="85">
        <v>1203</v>
      </c>
      <c r="N59" s="85">
        <v>1224.3</v>
      </c>
      <c r="O59" s="60">
        <f>+N59</f>
        <v>1224.3</v>
      </c>
      <c r="P59" s="325">
        <v>1224.5</v>
      </c>
      <c r="Q59" s="325">
        <v>1286.6</v>
      </c>
    </row>
    <row r="60" spans="1:17" ht="17.25" customHeight="1">
      <c r="A60" s="7"/>
      <c r="B60" s="32" t="s">
        <v>134</v>
      </c>
      <c r="C60" s="326">
        <v>-141.8</v>
      </c>
      <c r="D60" s="326">
        <v>-20.7</v>
      </c>
      <c r="E60" s="326">
        <v>-16.2</v>
      </c>
      <c r="F60" s="74">
        <v>-30.9</v>
      </c>
      <c r="G60" s="74">
        <v>0</v>
      </c>
      <c r="H60" s="74">
        <v>-1.8</v>
      </c>
      <c r="I60" s="74">
        <v>-12.2</v>
      </c>
      <c r="J60" s="57">
        <f>+I60</f>
        <v>-12.2</v>
      </c>
      <c r="K60" s="74">
        <v>0</v>
      </c>
      <c r="L60" s="74">
        <v>-3.1</v>
      </c>
      <c r="M60" s="74">
        <v>0</v>
      </c>
      <c r="N60" s="74">
        <v>-4</v>
      </c>
      <c r="O60" s="57">
        <f>+N60</f>
        <v>-4</v>
      </c>
      <c r="P60" s="326">
        <v>0</v>
      </c>
      <c r="Q60" s="326">
        <v>-3.5</v>
      </c>
    </row>
    <row r="61" spans="1:17" ht="17.25" customHeight="1" thickBot="1">
      <c r="A61" s="7"/>
      <c r="B61" s="61" t="s">
        <v>55</v>
      </c>
      <c r="C61" s="328">
        <v>1020.6</v>
      </c>
      <c r="D61" s="65">
        <f aca="true" t="shared" si="13" ref="D61:I61">SUM(D59:D60)</f>
        <v>1163.9</v>
      </c>
      <c r="E61" s="65">
        <f t="shared" si="13"/>
        <v>1169.2</v>
      </c>
      <c r="F61" s="65">
        <f t="shared" si="13"/>
        <v>1154.9</v>
      </c>
      <c r="G61" s="65">
        <f t="shared" si="13"/>
        <v>1186.1</v>
      </c>
      <c r="H61" s="65">
        <f t="shared" si="13"/>
        <v>1184.3</v>
      </c>
      <c r="I61" s="65">
        <f t="shared" si="13"/>
        <v>1173.9</v>
      </c>
      <c r="J61" s="65">
        <f>+I61</f>
        <v>1173.9</v>
      </c>
      <c r="K61" s="65">
        <f>SUM(K59:K60)</f>
        <v>1201</v>
      </c>
      <c r="L61" s="65">
        <f>SUM(L59:L60)</f>
        <v>1199.1</v>
      </c>
      <c r="M61" s="65">
        <f>SUM(M59:M60)</f>
        <v>1203</v>
      </c>
      <c r="N61" s="65">
        <f>SUM(N59:N60)</f>
        <v>1220.3</v>
      </c>
      <c r="O61" s="65">
        <f>+N61</f>
        <v>1220.3</v>
      </c>
      <c r="P61" s="65">
        <f>SUM(P59:P60)</f>
        <v>1224.5</v>
      </c>
      <c r="Q61" s="65">
        <f>SUM(Q59:Q60)</f>
        <v>1283.1</v>
      </c>
    </row>
    <row r="62" spans="1:17" ht="17.25" customHeight="1">
      <c r="A62" s="7"/>
      <c r="B62" s="1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7.25" customHeight="1">
      <c r="A63" s="7"/>
      <c r="B63" s="13" t="s">
        <v>149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7.25" customHeight="1">
      <c r="A64" s="7"/>
      <c r="B64" s="24" t="s">
        <v>56</v>
      </c>
      <c r="C64" s="25">
        <v>312068</v>
      </c>
      <c r="D64" s="323">
        <v>257467</v>
      </c>
      <c r="E64" s="323">
        <v>221609</v>
      </c>
      <c r="F64" s="109">
        <v>229111</v>
      </c>
      <c r="G64" s="109">
        <v>232964</v>
      </c>
      <c r="H64" s="109">
        <v>227683</v>
      </c>
      <c r="I64" s="109">
        <v>218702</v>
      </c>
      <c r="J64" s="90">
        <f>I64</f>
        <v>218702</v>
      </c>
      <c r="K64" s="109">
        <v>212196</v>
      </c>
      <c r="L64" s="109">
        <v>203741</v>
      </c>
      <c r="M64" s="109">
        <v>210138</v>
      </c>
      <c r="N64" s="109">
        <v>241753</v>
      </c>
      <c r="O64" s="90">
        <f>N64</f>
        <v>241753</v>
      </c>
      <c r="P64" s="323">
        <v>234390</v>
      </c>
      <c r="Q64" s="323">
        <v>233705</v>
      </c>
    </row>
    <row r="65" spans="1:17" ht="17.25" customHeight="1">
      <c r="A65" s="7"/>
      <c r="B65" s="24" t="s">
        <v>57</v>
      </c>
      <c r="C65" s="25">
        <v>34737</v>
      </c>
      <c r="D65" s="323">
        <v>34208</v>
      </c>
      <c r="E65" s="323">
        <v>36207</v>
      </c>
      <c r="F65" s="109">
        <v>37467</v>
      </c>
      <c r="G65" s="109">
        <v>37990</v>
      </c>
      <c r="H65" s="109">
        <v>37928</v>
      </c>
      <c r="I65" s="109">
        <v>37725</v>
      </c>
      <c r="J65" s="90">
        <f>I65</f>
        <v>37725</v>
      </c>
      <c r="K65" s="109">
        <v>38514</v>
      </c>
      <c r="L65" s="109">
        <v>37076</v>
      </c>
      <c r="M65" s="109">
        <v>37124</v>
      </c>
      <c r="N65" s="109">
        <v>36844</v>
      </c>
      <c r="O65" s="90">
        <f>N65</f>
        <v>36844</v>
      </c>
      <c r="P65" s="323">
        <v>36668</v>
      </c>
      <c r="Q65" s="323">
        <v>38512</v>
      </c>
    </row>
    <row r="66" spans="1:17" ht="17.25" customHeight="1" thickBot="1">
      <c r="A66" s="7"/>
      <c r="B66" s="61" t="s">
        <v>94</v>
      </c>
      <c r="C66" s="63">
        <v>45102</v>
      </c>
      <c r="D66" s="327">
        <v>46090</v>
      </c>
      <c r="E66" s="327">
        <v>45728</v>
      </c>
      <c r="F66" s="112">
        <v>49543</v>
      </c>
      <c r="G66" s="112">
        <v>50794</v>
      </c>
      <c r="H66" s="112">
        <v>49863</v>
      </c>
      <c r="I66" s="112">
        <v>47799</v>
      </c>
      <c r="J66" s="135">
        <f>I66</f>
        <v>47799</v>
      </c>
      <c r="K66" s="112">
        <v>50260</v>
      </c>
      <c r="L66" s="112">
        <v>48088</v>
      </c>
      <c r="M66" s="112">
        <v>49450</v>
      </c>
      <c r="N66" s="112">
        <v>48654</v>
      </c>
      <c r="O66" s="135">
        <f>N66</f>
        <v>48654</v>
      </c>
      <c r="P66" s="327">
        <v>44996</v>
      </c>
      <c r="Q66" s="327">
        <v>47230</v>
      </c>
    </row>
    <row r="67" spans="1:17" ht="17.25" customHeight="1">
      <c r="A67" s="7"/>
      <c r="B67" s="11"/>
      <c r="C67" s="15"/>
      <c r="D67" s="15"/>
      <c r="E67" s="15"/>
      <c r="F67" s="115"/>
      <c r="G67" s="115"/>
      <c r="H67" s="115"/>
      <c r="I67" s="15"/>
      <c r="J67" s="15"/>
      <c r="K67" s="115"/>
      <c r="L67" s="115"/>
      <c r="M67" s="115"/>
      <c r="N67" s="115"/>
      <c r="O67" s="15"/>
      <c r="P67" s="15"/>
      <c r="Q67" s="15"/>
    </row>
    <row r="68" spans="1:17" ht="17.25" customHeight="1">
      <c r="A68" s="7"/>
      <c r="B68" s="24" t="s">
        <v>58</v>
      </c>
      <c r="C68" s="26">
        <v>11.1</v>
      </c>
      <c r="D68" s="325">
        <v>13.3</v>
      </c>
      <c r="E68" s="325">
        <v>16.3</v>
      </c>
      <c r="F68" s="85">
        <v>16.4</v>
      </c>
      <c r="G68" s="85">
        <v>16.3</v>
      </c>
      <c r="H68" s="85">
        <v>16.7</v>
      </c>
      <c r="I68" s="85">
        <v>17.2</v>
      </c>
      <c r="J68" s="136">
        <v>17.2</v>
      </c>
      <c r="K68" s="85">
        <v>18.2</v>
      </c>
      <c r="L68" s="85">
        <v>18.2</v>
      </c>
      <c r="M68" s="85">
        <v>17.7</v>
      </c>
      <c r="N68" s="85">
        <v>15.2</v>
      </c>
      <c r="O68" s="310">
        <f>N68</f>
        <v>15.2</v>
      </c>
      <c r="P68" s="325">
        <v>15.6</v>
      </c>
      <c r="Q68" s="325">
        <v>16.5</v>
      </c>
    </row>
    <row r="69" spans="1:17" ht="17.25" customHeight="1" thickBot="1">
      <c r="A69" s="7"/>
      <c r="B69" s="61" t="s">
        <v>59</v>
      </c>
      <c r="C69" s="62">
        <v>14.5</v>
      </c>
      <c r="D69" s="328">
        <v>17.9</v>
      </c>
      <c r="E69" s="328">
        <v>20.6</v>
      </c>
      <c r="F69" s="113">
        <v>21.6</v>
      </c>
      <c r="G69" s="113">
        <v>21.8</v>
      </c>
      <c r="H69" s="113">
        <v>21.9</v>
      </c>
      <c r="I69" s="113">
        <v>21.9</v>
      </c>
      <c r="J69" s="137">
        <v>21.9</v>
      </c>
      <c r="K69" s="113">
        <v>23.7</v>
      </c>
      <c r="L69" s="113">
        <v>23.6</v>
      </c>
      <c r="M69" s="113">
        <v>23.5</v>
      </c>
      <c r="N69" s="113">
        <v>20.1</v>
      </c>
      <c r="O69" s="311">
        <f>N69</f>
        <v>20.1</v>
      </c>
      <c r="P69" s="328">
        <v>19.2</v>
      </c>
      <c r="Q69" s="328">
        <v>20.2</v>
      </c>
    </row>
    <row r="70" spans="1:17" ht="17.25" customHeight="1">
      <c r="A70" s="7"/>
      <c r="B70" s="19"/>
      <c r="C70" s="20"/>
      <c r="D70" s="20"/>
      <c r="E70" s="20"/>
      <c r="F70" s="114"/>
      <c r="G70" s="114"/>
      <c r="H70" s="114"/>
      <c r="I70" s="114"/>
      <c r="J70" s="20"/>
      <c r="K70" s="114"/>
      <c r="L70" s="114"/>
      <c r="M70" s="114"/>
      <c r="N70" s="114"/>
      <c r="O70" s="20"/>
      <c r="P70" s="20"/>
      <c r="Q70" s="20"/>
    </row>
    <row r="71" spans="1:17" ht="17.25" customHeight="1">
      <c r="A71" s="7"/>
      <c r="B71" s="13" t="s">
        <v>61</v>
      </c>
      <c r="C71" s="15"/>
      <c r="D71" s="15"/>
      <c r="E71" s="15"/>
      <c r="F71" s="115"/>
      <c r="G71" s="115"/>
      <c r="H71" s="115"/>
      <c r="I71" s="115"/>
      <c r="J71" s="15"/>
      <c r="K71" s="115"/>
      <c r="L71" s="115"/>
      <c r="M71" s="115"/>
      <c r="N71" s="115"/>
      <c r="O71" s="15"/>
      <c r="P71" s="15"/>
      <c r="Q71" s="15"/>
    </row>
    <row r="72" spans="1:17" ht="17.25" customHeight="1" thickBot="1">
      <c r="A72" s="7"/>
      <c r="B72" s="61" t="s">
        <v>62</v>
      </c>
      <c r="C72" s="66">
        <f>+'Core Results'!C44</f>
        <v>48100</v>
      </c>
      <c r="D72" s="66">
        <f>+'Core Results'!D44</f>
        <v>47800</v>
      </c>
      <c r="E72" s="66">
        <f>+'Core Results'!E44</f>
        <v>47600</v>
      </c>
      <c r="F72" s="66">
        <f>+'Core Results'!F44</f>
        <v>48300</v>
      </c>
      <c r="G72" s="66">
        <f>+'Core Results'!G44</f>
        <v>49200</v>
      </c>
      <c r="H72" s="66">
        <f>+'Core Results'!H44</f>
        <v>50500</v>
      </c>
      <c r="I72" s="66">
        <f>+'Core Results'!I44</f>
        <v>50100</v>
      </c>
      <c r="J72" s="66">
        <f>+'Core Results'!J44</f>
        <v>50100</v>
      </c>
      <c r="K72" s="66">
        <f>+'Core Results'!K44</f>
        <v>50100</v>
      </c>
      <c r="L72" s="66">
        <f>+'Core Results'!L44</f>
        <v>50700</v>
      </c>
      <c r="M72" s="66">
        <f>+'Core Results'!M44</f>
        <v>50700</v>
      </c>
      <c r="N72" s="66">
        <v>49700</v>
      </c>
      <c r="O72" s="66">
        <v>49700</v>
      </c>
      <c r="P72" s="66">
        <f>'Core Results'!P44</f>
        <v>48700</v>
      </c>
      <c r="Q72" s="66">
        <f>'Core Results'!Q44</f>
        <v>48200</v>
      </c>
    </row>
    <row r="73" spans="1:17" ht="11.25" customHeight="1">
      <c r="A73" s="7"/>
      <c r="B73" s="1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7.2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ht="11.25" customHeight="1">
      <c r="A75" s="7"/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s="18" customFormat="1" ht="17.25" customHeight="1">
      <c r="A76" s="230" t="s">
        <v>101</v>
      </c>
      <c r="B76" s="12" t="s">
        <v>113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s="18" customFormat="1" ht="20.25" customHeight="1">
      <c r="A77" s="230" t="s">
        <v>106</v>
      </c>
      <c r="B77" s="12" t="s">
        <v>199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7" r:id="rId1"/>
  <headerFooter alignWithMargins="0">
    <oddFooter>&amp;C&amp;A</oddFooter>
  </headerFooter>
  <rowBreaks count="1" manualBreakCount="1">
    <brk id="3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2" width="11.57421875" style="1" customWidth="1"/>
    <col min="13" max="14" width="11.7109375" style="1" customWidth="1"/>
    <col min="15" max="17" width="11.57421875" style="1" customWidth="1"/>
    <col min="18" max="16384" width="1.7109375" style="1" customWidth="1"/>
  </cols>
  <sheetData>
    <row r="1" spans="1:17" ht="21.75" customHeight="1">
      <c r="A1" s="2"/>
      <c r="B1" s="438" t="s">
        <v>162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7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20.25" customHeight="1">
      <c r="A3" s="7"/>
      <c r="B3" s="7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</row>
    <row r="4" spans="1:17" ht="16.5" thickBot="1">
      <c r="A4" s="7"/>
      <c r="B4" s="9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2" customHeight="1" thickTop="1">
      <c r="A5" s="7"/>
      <c r="B5" s="253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8" customFormat="1" ht="17.25" customHeight="1" thickBot="1">
      <c r="A7" s="7"/>
      <c r="B7" s="28" t="s">
        <v>13</v>
      </c>
      <c r="C7" s="22">
        <f>2306+171</f>
        <v>2477</v>
      </c>
      <c r="D7" s="22">
        <f>358+146</f>
        <v>504</v>
      </c>
      <c r="E7" s="22">
        <f>1860+97</f>
        <v>1957</v>
      </c>
      <c r="F7" s="106">
        <f>635+25</f>
        <v>660</v>
      </c>
      <c r="G7" s="106">
        <f>506+24</f>
        <v>530</v>
      </c>
      <c r="H7" s="106">
        <f>585+22</f>
        <v>607</v>
      </c>
      <c r="I7" s="106">
        <f>620+24</f>
        <v>644</v>
      </c>
      <c r="J7" s="43">
        <f aca="true" t="shared" si="0" ref="J7:J14">SUM(F7:I7)</f>
        <v>2441</v>
      </c>
      <c r="K7" s="106">
        <f>594+26</f>
        <v>620</v>
      </c>
      <c r="L7" s="106">
        <f>632+22</f>
        <v>654</v>
      </c>
      <c r="M7" s="106">
        <f>474+19</f>
        <v>493</v>
      </c>
      <c r="N7" s="106">
        <f>458+20</f>
        <v>478</v>
      </c>
      <c r="O7" s="43">
        <f aca="true" t="shared" si="1" ref="O7:O14">SUM(K7:N7)</f>
        <v>2245</v>
      </c>
      <c r="P7" s="106">
        <f>663+18</f>
        <v>681</v>
      </c>
      <c r="Q7" s="106">
        <v>550</v>
      </c>
    </row>
    <row r="8" spans="1:17" s="18" customFormat="1" ht="17.25" customHeight="1" thickBot="1">
      <c r="A8" s="7"/>
      <c r="B8" s="28" t="s">
        <v>14</v>
      </c>
      <c r="C8" s="22">
        <v>0</v>
      </c>
      <c r="D8" s="22">
        <v>0</v>
      </c>
      <c r="E8" s="22">
        <v>0</v>
      </c>
      <c r="F8" s="106">
        <v>0</v>
      </c>
      <c r="G8" s="106">
        <v>0</v>
      </c>
      <c r="H8" s="106">
        <v>0</v>
      </c>
      <c r="I8" s="106">
        <v>0</v>
      </c>
      <c r="J8" s="43">
        <f t="shared" si="0"/>
        <v>0</v>
      </c>
      <c r="K8" s="106">
        <v>0</v>
      </c>
      <c r="L8" s="106">
        <v>0</v>
      </c>
      <c r="M8" s="106">
        <v>0</v>
      </c>
      <c r="N8" s="106">
        <v>0</v>
      </c>
      <c r="O8" s="43">
        <f t="shared" si="1"/>
        <v>0</v>
      </c>
      <c r="P8" s="106">
        <v>0</v>
      </c>
      <c r="Q8" s="106">
        <v>0</v>
      </c>
    </row>
    <row r="9" spans="1:17" s="18" customFormat="1" ht="17.25" customHeight="1">
      <c r="A9" s="7"/>
      <c r="B9" s="30" t="s">
        <v>15</v>
      </c>
      <c r="C9" s="390">
        <f>1286+38+5</f>
        <v>1329</v>
      </c>
      <c r="D9" s="390">
        <f>1055+31+4</f>
        <v>1090</v>
      </c>
      <c r="E9" s="390">
        <f>1090+23+2</f>
        <v>1115</v>
      </c>
      <c r="F9" s="118">
        <f>282+6+2</f>
        <v>290</v>
      </c>
      <c r="G9" s="118">
        <f>289+6+1</f>
        <v>296</v>
      </c>
      <c r="H9" s="118">
        <f>261+6+2</f>
        <v>269</v>
      </c>
      <c r="I9" s="118">
        <f>250+6+2</f>
        <v>258</v>
      </c>
      <c r="J9" s="55">
        <f t="shared" si="0"/>
        <v>1113</v>
      </c>
      <c r="K9" s="118">
        <f>260+7+1</f>
        <v>268</v>
      </c>
      <c r="L9" s="118">
        <f>249+6+1</f>
        <v>256</v>
      </c>
      <c r="M9" s="118">
        <f>219+7+2</f>
        <v>228</v>
      </c>
      <c r="N9" s="118">
        <f>204+6+2</f>
        <v>212</v>
      </c>
      <c r="O9" s="55">
        <f t="shared" si="1"/>
        <v>964</v>
      </c>
      <c r="P9" s="118">
        <f>263+6+1</f>
        <v>270</v>
      </c>
      <c r="Q9" s="118">
        <v>256</v>
      </c>
    </row>
    <row r="10" spans="1:17" s="18" customFormat="1" ht="17.25" customHeight="1">
      <c r="A10" s="7"/>
      <c r="B10" s="24" t="s">
        <v>16</v>
      </c>
      <c r="C10" s="323">
        <f>545+30-5</f>
        <v>570</v>
      </c>
      <c r="D10" s="323">
        <f>604+22-4</f>
        <v>622</v>
      </c>
      <c r="E10" s="323">
        <f>557+16-2</f>
        <v>571</v>
      </c>
      <c r="F10" s="109">
        <f>138+4-2</f>
        <v>140</v>
      </c>
      <c r="G10" s="109">
        <f>148+5-1</f>
        <v>152</v>
      </c>
      <c r="H10" s="109">
        <f>150+4-2</f>
        <v>152</v>
      </c>
      <c r="I10" s="109">
        <f>147+5-2</f>
        <v>150</v>
      </c>
      <c r="J10" s="46">
        <f t="shared" si="0"/>
        <v>594</v>
      </c>
      <c r="K10" s="109">
        <f>125+5-1</f>
        <v>129</v>
      </c>
      <c r="L10" s="109">
        <f>144+6-1</f>
        <v>149</v>
      </c>
      <c r="M10" s="109">
        <f>128+5-2</f>
        <v>131</v>
      </c>
      <c r="N10" s="109">
        <f>130+5-2</f>
        <v>133</v>
      </c>
      <c r="O10" s="46">
        <f t="shared" si="1"/>
        <v>542</v>
      </c>
      <c r="P10" s="109">
        <f>118+4-1</f>
        <v>121</v>
      </c>
      <c r="Q10" s="109">
        <v>121</v>
      </c>
    </row>
    <row r="11" spans="1:17" s="18" customFormat="1" ht="17.25" customHeight="1">
      <c r="A11" s="7"/>
      <c r="B11" s="29" t="s">
        <v>17</v>
      </c>
      <c r="C11" s="330">
        <f>209+40</f>
        <v>249</v>
      </c>
      <c r="D11" s="330">
        <f>158+34</f>
        <v>192</v>
      </c>
      <c r="E11" s="330">
        <f>160+24</f>
        <v>184</v>
      </c>
      <c r="F11" s="117">
        <f>45+7</f>
        <v>52</v>
      </c>
      <c r="G11" s="117">
        <f>43+7</f>
        <v>50</v>
      </c>
      <c r="H11" s="117">
        <f>36+5</f>
        <v>41</v>
      </c>
      <c r="I11" s="117">
        <f>40+6</f>
        <v>46</v>
      </c>
      <c r="J11" s="56">
        <f t="shared" si="0"/>
        <v>189</v>
      </c>
      <c r="K11" s="117">
        <f>34+6</f>
        <v>40</v>
      </c>
      <c r="L11" s="117">
        <f>34+5</f>
        <v>39</v>
      </c>
      <c r="M11" s="117">
        <f>32+5</f>
        <v>37</v>
      </c>
      <c r="N11" s="117">
        <f>34+4</f>
        <v>38</v>
      </c>
      <c r="O11" s="56">
        <f t="shared" si="1"/>
        <v>154</v>
      </c>
      <c r="P11" s="117">
        <f>32+4</f>
        <v>36</v>
      </c>
      <c r="Q11" s="117">
        <v>40</v>
      </c>
    </row>
    <row r="12" spans="1:17" s="18" customFormat="1" ht="17.25" customHeight="1">
      <c r="A12" s="7"/>
      <c r="B12" s="30" t="s">
        <v>18</v>
      </c>
      <c r="C12" s="69">
        <f aca="true" t="shared" si="2" ref="C12:I12">SUM(C10:C11)</f>
        <v>819</v>
      </c>
      <c r="D12" s="69">
        <f t="shared" si="2"/>
        <v>814</v>
      </c>
      <c r="E12" s="53">
        <f t="shared" si="2"/>
        <v>755</v>
      </c>
      <c r="F12" s="53">
        <f t="shared" si="2"/>
        <v>192</v>
      </c>
      <c r="G12" s="53">
        <f t="shared" si="2"/>
        <v>202</v>
      </c>
      <c r="H12" s="53">
        <f t="shared" si="2"/>
        <v>193</v>
      </c>
      <c r="I12" s="53">
        <f t="shared" si="2"/>
        <v>196</v>
      </c>
      <c r="J12" s="53">
        <f t="shared" si="0"/>
        <v>783</v>
      </c>
      <c r="K12" s="53">
        <f>SUM(K10:K11)</f>
        <v>169</v>
      </c>
      <c r="L12" s="53">
        <f>SUM(L10:L11)</f>
        <v>188</v>
      </c>
      <c r="M12" s="53">
        <f>SUM(M10:M11)</f>
        <v>168</v>
      </c>
      <c r="N12" s="53">
        <f>SUM(N10:N11)</f>
        <v>171</v>
      </c>
      <c r="O12" s="53">
        <f t="shared" si="1"/>
        <v>696</v>
      </c>
      <c r="P12" s="53">
        <f>SUM(P10:P11)</f>
        <v>157</v>
      </c>
      <c r="Q12" s="53">
        <f>SUM(Q10:Q11)</f>
        <v>161</v>
      </c>
    </row>
    <row r="13" spans="1:17" s="18" customFormat="1" ht="17.25" customHeight="1" thickBot="1">
      <c r="A13" s="7"/>
      <c r="B13" s="28" t="s">
        <v>19</v>
      </c>
      <c r="C13" s="410">
        <f aca="true" t="shared" si="3" ref="C13:I13">C9+C12</f>
        <v>2148</v>
      </c>
      <c r="D13" s="410">
        <f t="shared" si="3"/>
        <v>1904</v>
      </c>
      <c r="E13" s="43">
        <f t="shared" si="3"/>
        <v>1870</v>
      </c>
      <c r="F13" s="43">
        <f t="shared" si="3"/>
        <v>482</v>
      </c>
      <c r="G13" s="43">
        <f t="shared" si="3"/>
        <v>498</v>
      </c>
      <c r="H13" s="43">
        <f t="shared" si="3"/>
        <v>462</v>
      </c>
      <c r="I13" s="43">
        <f t="shared" si="3"/>
        <v>454</v>
      </c>
      <c r="J13" s="43">
        <f t="shared" si="0"/>
        <v>1896</v>
      </c>
      <c r="K13" s="43">
        <f>K9+K12</f>
        <v>437</v>
      </c>
      <c r="L13" s="43">
        <f>L9+L12</f>
        <v>444</v>
      </c>
      <c r="M13" s="43">
        <f>M9+M12</f>
        <v>396</v>
      </c>
      <c r="N13" s="43">
        <f>N9+N12</f>
        <v>383</v>
      </c>
      <c r="O13" s="43">
        <f t="shared" si="1"/>
        <v>1660</v>
      </c>
      <c r="P13" s="43">
        <f>P9+P12</f>
        <v>427</v>
      </c>
      <c r="Q13" s="43">
        <f>Q9+Q12</f>
        <v>417</v>
      </c>
    </row>
    <row r="14" spans="1:17" s="18" customFormat="1" ht="17.25" customHeight="1" thickBot="1">
      <c r="A14" s="7"/>
      <c r="B14" s="42" t="s">
        <v>100</v>
      </c>
      <c r="C14" s="410">
        <f aca="true" t="shared" si="4" ref="C14:I14">C7-C8-C13</f>
        <v>329</v>
      </c>
      <c r="D14" s="410">
        <f t="shared" si="4"/>
        <v>-1400</v>
      </c>
      <c r="E14" s="43">
        <f t="shared" si="4"/>
        <v>87</v>
      </c>
      <c r="F14" s="43">
        <f t="shared" si="4"/>
        <v>178</v>
      </c>
      <c r="G14" s="43">
        <f t="shared" si="4"/>
        <v>32</v>
      </c>
      <c r="H14" s="43">
        <f t="shared" si="4"/>
        <v>145</v>
      </c>
      <c r="I14" s="43">
        <f t="shared" si="4"/>
        <v>190</v>
      </c>
      <c r="J14" s="43">
        <f t="shared" si="0"/>
        <v>545</v>
      </c>
      <c r="K14" s="43">
        <f>K7-K8-K13</f>
        <v>183</v>
      </c>
      <c r="L14" s="43">
        <f>L7-L8-L13</f>
        <v>210</v>
      </c>
      <c r="M14" s="43">
        <f>M7-M8-M13</f>
        <v>97</v>
      </c>
      <c r="N14" s="43">
        <f>N7-N8-N13</f>
        <v>95</v>
      </c>
      <c r="O14" s="43">
        <f t="shared" si="1"/>
        <v>585</v>
      </c>
      <c r="P14" s="43">
        <f>P7-P8-P13</f>
        <v>254</v>
      </c>
      <c r="Q14" s="43">
        <f>Q7-Q8-Q13</f>
        <v>133</v>
      </c>
    </row>
    <row r="15" spans="1:17" ht="12" customHeight="1">
      <c r="A15" s="7"/>
      <c r="B15" s="253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ht="15" customHeight="1">
      <c r="A16" s="7"/>
      <c r="B16" s="13" t="s">
        <v>104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7.25" customHeight="1">
      <c r="A17" s="7"/>
      <c r="B17" s="30" t="s">
        <v>40</v>
      </c>
      <c r="C17" s="54">
        <f aca="true" t="shared" si="5" ref="C17:I17">+C13/C7*100</f>
        <v>86.7</v>
      </c>
      <c r="D17" s="54">
        <f t="shared" si="5"/>
        <v>377.8</v>
      </c>
      <c r="E17" s="54">
        <f t="shared" si="5"/>
        <v>95.6</v>
      </c>
      <c r="F17" s="54">
        <f t="shared" si="5"/>
        <v>73</v>
      </c>
      <c r="G17" s="54">
        <f t="shared" si="5"/>
        <v>94</v>
      </c>
      <c r="H17" s="54">
        <f t="shared" si="5"/>
        <v>76.1</v>
      </c>
      <c r="I17" s="54">
        <f t="shared" si="5"/>
        <v>70.5</v>
      </c>
      <c r="J17" s="54">
        <f aca="true" t="shared" si="6" ref="J17:P17">+J13/J7*100</f>
        <v>77.7</v>
      </c>
      <c r="K17" s="54">
        <f t="shared" si="6"/>
        <v>70.5</v>
      </c>
      <c r="L17" s="54">
        <f t="shared" si="6"/>
        <v>67.9</v>
      </c>
      <c r="M17" s="54">
        <f t="shared" si="6"/>
        <v>80.3</v>
      </c>
      <c r="N17" s="54">
        <f t="shared" si="6"/>
        <v>80.1</v>
      </c>
      <c r="O17" s="54">
        <f t="shared" si="6"/>
        <v>73.9</v>
      </c>
      <c r="P17" s="54">
        <f t="shared" si="6"/>
        <v>62.7</v>
      </c>
      <c r="Q17" s="54">
        <f>+Q13/Q7*100</f>
        <v>75.8</v>
      </c>
    </row>
    <row r="18" spans="1:17" ht="17.25" customHeight="1" thickBot="1">
      <c r="A18" s="7"/>
      <c r="B18" s="61" t="s">
        <v>41</v>
      </c>
      <c r="C18" s="65">
        <f>+C14/C7*100</f>
        <v>13.3</v>
      </c>
      <c r="D18" s="65">
        <f>+D14/D7*100</f>
        <v>-277.8</v>
      </c>
      <c r="E18" s="65">
        <f aca="true" t="shared" si="7" ref="E18:K18">+E14/E7*100</f>
        <v>4.4</v>
      </c>
      <c r="F18" s="65">
        <f t="shared" si="7"/>
        <v>27</v>
      </c>
      <c r="G18" s="65">
        <f t="shared" si="7"/>
        <v>6</v>
      </c>
      <c r="H18" s="65">
        <f t="shared" si="7"/>
        <v>23.9</v>
      </c>
      <c r="I18" s="65">
        <f t="shared" si="7"/>
        <v>29.5</v>
      </c>
      <c r="J18" s="65">
        <f t="shared" si="7"/>
        <v>22.3</v>
      </c>
      <c r="K18" s="65">
        <f t="shared" si="7"/>
        <v>29.5</v>
      </c>
      <c r="L18" s="65">
        <f aca="true" t="shared" si="8" ref="L18:Q18">+L14/L7*100</f>
        <v>32.1</v>
      </c>
      <c r="M18" s="65">
        <f t="shared" si="8"/>
        <v>19.7</v>
      </c>
      <c r="N18" s="65">
        <f t="shared" si="8"/>
        <v>19.9</v>
      </c>
      <c r="O18" s="65">
        <f t="shared" si="8"/>
        <v>26.1</v>
      </c>
      <c r="P18" s="65">
        <f t="shared" si="8"/>
        <v>37.3</v>
      </c>
      <c r="Q18" s="65">
        <f t="shared" si="8"/>
        <v>24.2</v>
      </c>
    </row>
    <row r="19" spans="1:17" ht="10.5" customHeight="1">
      <c r="A19" s="7"/>
      <c r="B19" s="253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7" ht="17.25" customHeight="1">
      <c r="A20" s="7"/>
      <c r="B20" s="13" t="s">
        <v>60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18" customFormat="1" ht="30.75" customHeight="1" thickBot="1">
      <c r="A21" s="7"/>
      <c r="B21" s="127" t="s">
        <v>92</v>
      </c>
      <c r="C21" s="327">
        <v>2654</v>
      </c>
      <c r="D21" s="327">
        <v>3202</v>
      </c>
      <c r="E21" s="327">
        <v>3356</v>
      </c>
      <c r="F21" s="327">
        <v>3291</v>
      </c>
      <c r="G21" s="327">
        <v>3474</v>
      </c>
      <c r="H21" s="327">
        <v>3618</v>
      </c>
      <c r="I21" s="327">
        <v>3478</v>
      </c>
      <c r="J21" s="327">
        <v>3433</v>
      </c>
      <c r="K21" s="327">
        <v>3337</v>
      </c>
      <c r="L21" s="327">
        <v>3218</v>
      </c>
      <c r="M21" s="327">
        <v>3149</v>
      </c>
      <c r="N21" s="327">
        <v>3207</v>
      </c>
      <c r="O21" s="327">
        <v>3239</v>
      </c>
      <c r="P21" s="327">
        <v>3145</v>
      </c>
      <c r="Q21" s="327">
        <v>3073</v>
      </c>
    </row>
    <row r="22" spans="1:17" s="18" customFormat="1" ht="31.5" customHeight="1" thickBot="1">
      <c r="A22" s="7"/>
      <c r="B22" s="127" t="s">
        <v>91</v>
      </c>
      <c r="C22" s="62">
        <v>14.4</v>
      </c>
      <c r="D22" s="62">
        <v>-42.4</v>
      </c>
      <c r="E22" s="62">
        <v>3.7</v>
      </c>
      <c r="F22" s="304">
        <v>22.7</v>
      </c>
      <c r="G22" s="304">
        <v>4.8</v>
      </c>
      <c r="H22" s="304">
        <v>17.1</v>
      </c>
      <c r="I22" s="113">
        <v>22.9</v>
      </c>
      <c r="J22" s="62">
        <v>16.9</v>
      </c>
      <c r="K22" s="304">
        <v>22.9</v>
      </c>
      <c r="L22" s="304">
        <v>27.1</v>
      </c>
      <c r="M22" s="304">
        <v>13.5</v>
      </c>
      <c r="N22" s="304">
        <v>13.2</v>
      </c>
      <c r="O22" s="62">
        <v>19.2</v>
      </c>
      <c r="P22" s="304">
        <v>33.6</v>
      </c>
      <c r="Q22" s="304">
        <v>18.6</v>
      </c>
    </row>
    <row r="23" spans="1:17" ht="20.25" customHeight="1">
      <c r="A23" s="7"/>
      <c r="B23" s="253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ht="17.25" customHeight="1">
      <c r="A24" s="7"/>
      <c r="B24" s="13" t="s">
        <v>61</v>
      </c>
      <c r="C24" s="15"/>
      <c r="D24" s="15"/>
      <c r="E24" s="15"/>
      <c r="F24" s="115"/>
      <c r="G24" s="115"/>
      <c r="H24" s="115"/>
      <c r="I24" s="115"/>
      <c r="J24" s="15"/>
      <c r="K24" s="115"/>
      <c r="L24" s="115"/>
      <c r="M24" s="115"/>
      <c r="N24" s="115"/>
      <c r="O24" s="15"/>
      <c r="P24" s="115"/>
      <c r="Q24" s="115"/>
    </row>
    <row r="25" spans="1:17" ht="17.25" customHeight="1" thickBot="1">
      <c r="A25" s="7"/>
      <c r="B25" s="61" t="s">
        <v>62</v>
      </c>
      <c r="C25" s="66">
        <f>+'Core Results'!C42</f>
        <v>3800</v>
      </c>
      <c r="D25" s="66">
        <f>+'Core Results'!D42</f>
        <v>3300</v>
      </c>
      <c r="E25" s="66">
        <f>+'Core Results'!E42</f>
        <v>3200</v>
      </c>
      <c r="F25" s="66">
        <f>+'Core Results'!F42</f>
        <v>3000</v>
      </c>
      <c r="G25" s="66">
        <f>+'Core Results'!G42</f>
        <v>3000</v>
      </c>
      <c r="H25" s="66">
        <f>+'Core Results'!H42</f>
        <v>3100</v>
      </c>
      <c r="I25" s="66">
        <f>+'Core Results'!I42</f>
        <v>3100</v>
      </c>
      <c r="J25" s="66">
        <f>+'Core Results'!J42</f>
        <v>3100</v>
      </c>
      <c r="K25" s="66">
        <f>+'Core Results'!K42</f>
        <v>3000</v>
      </c>
      <c r="L25" s="66">
        <f>+'Core Results'!L42</f>
        <v>3000</v>
      </c>
      <c r="M25" s="66">
        <f>+'Core Results'!M42</f>
        <v>3000</v>
      </c>
      <c r="N25" s="66">
        <f>+'Core Results'!N42</f>
        <v>2900</v>
      </c>
      <c r="O25" s="66">
        <f>+'Core Results'!O42</f>
        <v>2900</v>
      </c>
      <c r="P25" s="66">
        <f>+'Core Results'!P42</f>
        <v>2900</v>
      </c>
      <c r="Q25" s="66">
        <f>+'Core Results'!Q42</f>
        <v>2900</v>
      </c>
    </row>
    <row r="26" spans="1:17" ht="20.25" customHeight="1">
      <c r="A26" s="7"/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18" customFormat="1" ht="17.25" customHeight="1">
      <c r="A27" s="7"/>
      <c r="B27" s="13" t="s">
        <v>163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17" s="18" customFormat="1" ht="17.25" customHeight="1">
      <c r="A28" s="7"/>
      <c r="B28" s="97" t="s">
        <v>164</v>
      </c>
      <c r="C28" s="419"/>
      <c r="D28" s="318">
        <v>1706</v>
      </c>
      <c r="E28" s="318">
        <v>1449</v>
      </c>
      <c r="F28" s="318">
        <v>380</v>
      </c>
      <c r="G28" s="318">
        <v>377</v>
      </c>
      <c r="H28" s="318">
        <v>362</v>
      </c>
      <c r="I28" s="318">
        <v>357</v>
      </c>
      <c r="J28" s="98">
        <f>SUM(F28:I28)</f>
        <v>1476</v>
      </c>
      <c r="K28" s="318">
        <v>349</v>
      </c>
      <c r="L28" s="318">
        <v>332</v>
      </c>
      <c r="M28" s="318">
        <v>328</v>
      </c>
      <c r="N28" s="318">
        <v>329</v>
      </c>
      <c r="O28" s="98">
        <f>SUM(K28:N28)</f>
        <v>1338</v>
      </c>
      <c r="P28" s="318">
        <v>329</v>
      </c>
      <c r="Q28" s="124">
        <v>326</v>
      </c>
    </row>
    <row r="29" spans="1:17" s="18" customFormat="1" ht="17.25" customHeight="1">
      <c r="A29" s="7"/>
      <c r="B29" s="99" t="s">
        <v>165</v>
      </c>
      <c r="C29" s="420"/>
      <c r="D29" s="329">
        <v>254</v>
      </c>
      <c r="E29" s="329">
        <v>195</v>
      </c>
      <c r="F29" s="329">
        <v>44</v>
      </c>
      <c r="G29" s="329">
        <v>50</v>
      </c>
      <c r="H29" s="329">
        <v>53</v>
      </c>
      <c r="I29" s="329">
        <v>86</v>
      </c>
      <c r="J29" s="100">
        <f>SUM(F29:I29)</f>
        <v>233</v>
      </c>
      <c r="K29" s="329">
        <v>58</v>
      </c>
      <c r="L29" s="329">
        <v>64</v>
      </c>
      <c r="M29" s="329">
        <v>66</v>
      </c>
      <c r="N29" s="329">
        <v>88</v>
      </c>
      <c r="O29" s="100">
        <f>SUM(K29:N29)</f>
        <v>276</v>
      </c>
      <c r="P29" s="329">
        <v>44</v>
      </c>
      <c r="Q29" s="254">
        <v>51</v>
      </c>
    </row>
    <row r="30" spans="1:17" s="18" customFormat="1" ht="17.25" customHeight="1">
      <c r="A30" s="7"/>
      <c r="B30" s="99" t="s">
        <v>166</v>
      </c>
      <c r="C30" s="420"/>
      <c r="D30" s="329">
        <v>153</v>
      </c>
      <c r="E30" s="329">
        <v>220</v>
      </c>
      <c r="F30" s="329">
        <v>16</v>
      </c>
      <c r="G30" s="329">
        <v>3</v>
      </c>
      <c r="H30" s="329">
        <v>40</v>
      </c>
      <c r="I30" s="329">
        <v>128</v>
      </c>
      <c r="J30" s="100">
        <f>SUM(F30:I30)</f>
        <v>187</v>
      </c>
      <c r="K30" s="329">
        <v>34</v>
      </c>
      <c r="L30" s="329">
        <v>60</v>
      </c>
      <c r="M30" s="329">
        <v>86</v>
      </c>
      <c r="N30" s="329">
        <v>41</v>
      </c>
      <c r="O30" s="100">
        <f>SUM(K30:N30)</f>
        <v>221</v>
      </c>
      <c r="P30" s="329">
        <v>34</v>
      </c>
      <c r="Q30" s="254">
        <v>74</v>
      </c>
    </row>
    <row r="31" spans="1:17" s="18" customFormat="1" ht="17.25" customHeight="1">
      <c r="A31" s="7"/>
      <c r="B31" s="255" t="s">
        <v>167</v>
      </c>
      <c r="C31" s="421"/>
      <c r="D31" s="329">
        <v>32</v>
      </c>
      <c r="E31" s="380">
        <v>52</v>
      </c>
      <c r="F31" s="380">
        <v>18</v>
      </c>
      <c r="G31" s="380">
        <v>23</v>
      </c>
      <c r="H31" s="380">
        <v>18</v>
      </c>
      <c r="I31" s="380">
        <v>30</v>
      </c>
      <c r="J31" s="302">
        <f>SUM(F31:I31)</f>
        <v>89</v>
      </c>
      <c r="K31" s="380">
        <v>32</v>
      </c>
      <c r="L31" s="380">
        <v>36</v>
      </c>
      <c r="M31" s="380">
        <v>28</v>
      </c>
      <c r="N31" s="380">
        <v>26</v>
      </c>
      <c r="O31" s="302">
        <f>SUM(K31:N31)</f>
        <v>122</v>
      </c>
      <c r="P31" s="380">
        <v>20</v>
      </c>
      <c r="Q31" s="256">
        <v>27</v>
      </c>
    </row>
    <row r="32" spans="1:17" s="18" customFormat="1" ht="17.25" customHeight="1">
      <c r="A32" s="7"/>
      <c r="B32" s="30" t="s">
        <v>168</v>
      </c>
      <c r="C32" s="422"/>
      <c r="D32" s="53">
        <f>SUM(D28:D31)</f>
        <v>2145</v>
      </c>
      <c r="E32" s="53">
        <f aca="true" t="shared" si="9" ref="E32:O32">SUM(E28:E31)</f>
        <v>1916</v>
      </c>
      <c r="F32" s="53">
        <f t="shared" si="9"/>
        <v>458</v>
      </c>
      <c r="G32" s="53">
        <f t="shared" si="9"/>
        <v>453</v>
      </c>
      <c r="H32" s="53">
        <f>SUM(H28:H31)</f>
        <v>473</v>
      </c>
      <c r="I32" s="53">
        <f t="shared" si="9"/>
        <v>601</v>
      </c>
      <c r="J32" s="53">
        <f t="shared" si="9"/>
        <v>1985</v>
      </c>
      <c r="K32" s="53">
        <f t="shared" si="9"/>
        <v>473</v>
      </c>
      <c r="L32" s="53">
        <f t="shared" si="9"/>
        <v>492</v>
      </c>
      <c r="M32" s="53">
        <f t="shared" si="9"/>
        <v>508</v>
      </c>
      <c r="N32" s="53">
        <f t="shared" si="9"/>
        <v>484</v>
      </c>
      <c r="O32" s="53">
        <f t="shared" si="9"/>
        <v>1957</v>
      </c>
      <c r="P32" s="53">
        <f>SUM(P28:P31)</f>
        <v>427</v>
      </c>
      <c r="Q32" s="53">
        <f>SUM(Q28:Q31)</f>
        <v>478</v>
      </c>
    </row>
    <row r="33" spans="1:17" s="18" customFormat="1" ht="17.25" customHeight="1">
      <c r="A33" s="7"/>
      <c r="B33" s="159" t="s">
        <v>169</v>
      </c>
      <c r="C33" s="423"/>
      <c r="D33" s="322">
        <v>-656</v>
      </c>
      <c r="E33" s="322">
        <v>-365</v>
      </c>
      <c r="F33" s="322">
        <v>128</v>
      </c>
      <c r="G33" s="322">
        <v>43</v>
      </c>
      <c r="H33" s="322">
        <v>160</v>
      </c>
      <c r="I33" s="322">
        <v>101</v>
      </c>
      <c r="J33" s="148">
        <f>SUM(F33:I33)</f>
        <v>432</v>
      </c>
      <c r="K33" s="322">
        <v>160</v>
      </c>
      <c r="L33" s="322">
        <v>156</v>
      </c>
      <c r="M33" s="322">
        <v>-17</v>
      </c>
      <c r="N33" s="322">
        <v>6</v>
      </c>
      <c r="O33" s="148">
        <f>SUM(K33:N33)</f>
        <v>305</v>
      </c>
      <c r="P33" s="322">
        <v>101</v>
      </c>
      <c r="Q33" s="257">
        <v>27</v>
      </c>
    </row>
    <row r="34" spans="1:17" s="18" customFormat="1" ht="17.25" customHeight="1">
      <c r="A34" s="7"/>
      <c r="B34" s="332" t="s">
        <v>202</v>
      </c>
      <c r="C34" s="420"/>
      <c r="D34" s="322">
        <v>-92</v>
      </c>
      <c r="E34" s="329">
        <v>286</v>
      </c>
      <c r="F34" s="329">
        <v>-27</v>
      </c>
      <c r="G34" s="329">
        <v>0</v>
      </c>
      <c r="H34" s="329">
        <v>-33</v>
      </c>
      <c r="I34" s="329">
        <v>-45</v>
      </c>
      <c r="J34" s="148">
        <f>SUM(F34:I34)</f>
        <v>-105</v>
      </c>
      <c r="K34" s="329">
        <v>-4</v>
      </c>
      <c r="L34" s="329">
        <v>0</v>
      </c>
      <c r="M34" s="329">
        <v>15</v>
      </c>
      <c r="N34" s="329">
        <v>-8</v>
      </c>
      <c r="O34" s="148">
        <f>SUM(K34:N34)</f>
        <v>3</v>
      </c>
      <c r="P34" s="329">
        <v>170</v>
      </c>
      <c r="Q34" s="254">
        <v>69</v>
      </c>
    </row>
    <row r="35" spans="1:17" s="18" customFormat="1" ht="17.25" customHeight="1">
      <c r="A35" s="7"/>
      <c r="B35" s="29" t="s">
        <v>12</v>
      </c>
      <c r="C35" s="420"/>
      <c r="D35" s="329">
        <v>-893</v>
      </c>
      <c r="E35" s="329">
        <v>120</v>
      </c>
      <c r="F35" s="329">
        <v>101</v>
      </c>
      <c r="G35" s="329">
        <v>34</v>
      </c>
      <c r="H35" s="329">
        <v>7</v>
      </c>
      <c r="I35" s="329">
        <v>-13</v>
      </c>
      <c r="J35" s="100">
        <f>SUM(F35:I35)</f>
        <v>129</v>
      </c>
      <c r="K35" s="329">
        <v>-9</v>
      </c>
      <c r="L35" s="329">
        <v>6</v>
      </c>
      <c r="M35" s="329">
        <v>-13</v>
      </c>
      <c r="N35" s="329">
        <v>-4</v>
      </c>
      <c r="O35" s="100">
        <f>SUM(K35:N35)</f>
        <v>-20</v>
      </c>
      <c r="P35" s="329">
        <v>-17</v>
      </c>
      <c r="Q35" s="254">
        <v>-24</v>
      </c>
    </row>
    <row r="36" spans="1:17" ht="17.25" customHeight="1" thickBot="1">
      <c r="A36" s="7"/>
      <c r="B36" s="28" t="s">
        <v>13</v>
      </c>
      <c r="C36" s="412"/>
      <c r="D36" s="43">
        <f>IF((SUM(D32:D35))=D7,(SUM(D32:D35)),"Error")</f>
        <v>504</v>
      </c>
      <c r="E36" s="43">
        <f aca="true" t="shared" si="10" ref="E36:O36">IF((SUM(E32:E35))=E7,(SUM(E32:E35)),"Error")</f>
        <v>1957</v>
      </c>
      <c r="F36" s="43">
        <f t="shared" si="10"/>
        <v>660</v>
      </c>
      <c r="G36" s="43">
        <f t="shared" si="10"/>
        <v>530</v>
      </c>
      <c r="H36" s="43">
        <f t="shared" si="10"/>
        <v>607</v>
      </c>
      <c r="I36" s="43">
        <f t="shared" si="10"/>
        <v>644</v>
      </c>
      <c r="J36" s="43">
        <f t="shared" si="10"/>
        <v>2441</v>
      </c>
      <c r="K36" s="43">
        <f t="shared" si="10"/>
        <v>620</v>
      </c>
      <c r="L36" s="43">
        <f t="shared" si="10"/>
        <v>654</v>
      </c>
      <c r="M36" s="43">
        <f t="shared" si="10"/>
        <v>493</v>
      </c>
      <c r="N36" s="43">
        <f t="shared" si="10"/>
        <v>478</v>
      </c>
      <c r="O36" s="43">
        <f t="shared" si="10"/>
        <v>2245</v>
      </c>
      <c r="P36" s="43">
        <f>IF((SUM(P32:P35))=P7,(SUM(P32:P35)),"Error")</f>
        <v>681</v>
      </c>
      <c r="Q36" s="43">
        <f>IF((SUM(Q32:Q35))=Q7,(SUM(Q32:Q35)),"Error")</f>
        <v>550</v>
      </c>
    </row>
    <row r="37" spans="1:17" ht="15" customHeight="1">
      <c r="A37" s="7"/>
      <c r="B37" s="253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</row>
    <row r="38" spans="1:17" ht="17.25" customHeight="1">
      <c r="A38" s="7"/>
      <c r="B38" s="13" t="s">
        <v>170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s="18" customFormat="1" ht="17.25" customHeight="1">
      <c r="A39" s="7"/>
      <c r="B39" s="24" t="s">
        <v>171</v>
      </c>
      <c r="C39" s="413"/>
      <c r="D39" s="323">
        <v>1317</v>
      </c>
      <c r="E39" s="323">
        <v>1087</v>
      </c>
      <c r="F39" s="406">
        <v>250</v>
      </c>
      <c r="G39" s="406">
        <v>261</v>
      </c>
      <c r="H39" s="406">
        <v>296</v>
      </c>
      <c r="I39" s="406">
        <v>386</v>
      </c>
      <c r="J39" s="46">
        <f>SUM(F39:I39)</f>
        <v>1193</v>
      </c>
      <c r="K39" s="406">
        <v>276</v>
      </c>
      <c r="L39" s="406">
        <v>309</v>
      </c>
      <c r="M39" s="406">
        <v>348</v>
      </c>
      <c r="N39" s="406">
        <v>314</v>
      </c>
      <c r="O39" s="46">
        <f>SUM(K39:N39)</f>
        <v>1247</v>
      </c>
      <c r="P39" s="109">
        <v>264</v>
      </c>
      <c r="Q39" s="109">
        <v>328</v>
      </c>
    </row>
    <row r="40" spans="1:17" s="18" customFormat="1" ht="17.25" customHeight="1">
      <c r="A40" s="7"/>
      <c r="B40" s="19" t="s">
        <v>172</v>
      </c>
      <c r="C40" s="414"/>
      <c r="D40" s="315">
        <f>655+146</f>
        <v>801</v>
      </c>
      <c r="E40" s="315">
        <f>464+97</f>
        <v>561</v>
      </c>
      <c r="F40" s="407">
        <v>150</v>
      </c>
      <c r="G40" s="407">
        <v>156</v>
      </c>
      <c r="H40" s="407">
        <v>157</v>
      </c>
      <c r="I40" s="407">
        <v>153</v>
      </c>
      <c r="J40" s="49">
        <f>SUM(F40:I40)</f>
        <v>616</v>
      </c>
      <c r="K40" s="407">
        <v>155</v>
      </c>
      <c r="L40" s="407">
        <v>153</v>
      </c>
      <c r="M40" s="407">
        <v>143</v>
      </c>
      <c r="N40" s="407">
        <v>141</v>
      </c>
      <c r="O40" s="49">
        <f>SUM(K40:N40)</f>
        <v>592</v>
      </c>
      <c r="P40" s="105">
        <v>124</v>
      </c>
      <c r="Q40" s="105">
        <v>123</v>
      </c>
    </row>
    <row r="41" spans="1:17" s="18" customFormat="1" ht="17.25" customHeight="1">
      <c r="A41" s="7"/>
      <c r="B41" s="16" t="s">
        <v>173</v>
      </c>
      <c r="C41" s="415"/>
      <c r="D41" s="314">
        <v>-30</v>
      </c>
      <c r="E41" s="314">
        <v>425</v>
      </c>
      <c r="F41" s="408">
        <v>16</v>
      </c>
      <c r="G41" s="408">
        <v>35</v>
      </c>
      <c r="H41" s="408">
        <v>1</v>
      </c>
      <c r="I41" s="408">
        <v>11</v>
      </c>
      <c r="J41" s="51">
        <f>SUM(F41:I41)</f>
        <v>63</v>
      </c>
      <c r="K41" s="408">
        <v>41</v>
      </c>
      <c r="L41" s="408">
        <v>39</v>
      </c>
      <c r="M41" s="408">
        <v>23</v>
      </c>
      <c r="N41" s="408">
        <v>21</v>
      </c>
      <c r="O41" s="51">
        <f>SUM(K41:N41)</f>
        <v>124</v>
      </c>
      <c r="P41" s="104">
        <v>201</v>
      </c>
      <c r="Q41" s="104">
        <v>82</v>
      </c>
    </row>
    <row r="42" spans="1:17" s="18" customFormat="1" ht="17.25" customHeight="1">
      <c r="A42" s="7"/>
      <c r="B42" s="29" t="s">
        <v>6</v>
      </c>
      <c r="C42" s="416"/>
      <c r="D42" s="321">
        <v>-928</v>
      </c>
      <c r="E42" s="321">
        <v>249</v>
      </c>
      <c r="F42" s="409">
        <v>116</v>
      </c>
      <c r="G42" s="409">
        <v>35</v>
      </c>
      <c r="H42" s="409">
        <v>-7</v>
      </c>
      <c r="I42" s="409">
        <v>-7</v>
      </c>
      <c r="J42" s="47">
        <f>SUM(F42:I42)</f>
        <v>137</v>
      </c>
      <c r="K42" s="409">
        <v>-12</v>
      </c>
      <c r="L42" s="409">
        <v>-3</v>
      </c>
      <c r="M42" s="409">
        <v>-4</v>
      </c>
      <c r="N42" s="409">
        <v>-4</v>
      </c>
      <c r="O42" s="47">
        <f>SUM(K42:N42)</f>
        <v>-23</v>
      </c>
      <c r="P42" s="110">
        <v>-9</v>
      </c>
      <c r="Q42" s="110">
        <v>-10</v>
      </c>
    </row>
    <row r="43" spans="1:17" s="18" customFormat="1" ht="33" customHeight="1" thickBot="1">
      <c r="A43" s="7"/>
      <c r="B43" s="42" t="s">
        <v>174</v>
      </c>
      <c r="C43" s="417"/>
      <c r="D43" s="43">
        <f aca="true" t="shared" si="11" ref="D43:N43">SUM(D39:D42)</f>
        <v>1160</v>
      </c>
      <c r="E43" s="43">
        <f t="shared" si="11"/>
        <v>2322</v>
      </c>
      <c r="F43" s="43">
        <f t="shared" si="11"/>
        <v>532</v>
      </c>
      <c r="G43" s="43">
        <f t="shared" si="11"/>
        <v>487</v>
      </c>
      <c r="H43" s="43">
        <f t="shared" si="11"/>
        <v>447</v>
      </c>
      <c r="I43" s="43">
        <f t="shared" si="11"/>
        <v>543</v>
      </c>
      <c r="J43" s="43">
        <f t="shared" si="11"/>
        <v>2009</v>
      </c>
      <c r="K43" s="43">
        <f t="shared" si="11"/>
        <v>460</v>
      </c>
      <c r="L43" s="43">
        <f t="shared" si="11"/>
        <v>498</v>
      </c>
      <c r="M43" s="43">
        <f t="shared" si="11"/>
        <v>510</v>
      </c>
      <c r="N43" s="43">
        <f t="shared" si="11"/>
        <v>472</v>
      </c>
      <c r="O43" s="43">
        <f>SUM(O39:O42)</f>
        <v>1940</v>
      </c>
      <c r="P43" s="43">
        <f>SUM(P39:P42)</f>
        <v>580</v>
      </c>
      <c r="Q43" s="43">
        <f>SUM(Q39:Q42)</f>
        <v>523</v>
      </c>
    </row>
    <row r="44" spans="1:17" s="18" customFormat="1" ht="17.25" customHeight="1">
      <c r="A44" s="7"/>
      <c r="B44" s="129" t="s">
        <v>169</v>
      </c>
      <c r="C44" s="418"/>
      <c r="D44" s="375">
        <v>-656</v>
      </c>
      <c r="E44" s="259">
        <f>E33</f>
        <v>-365</v>
      </c>
      <c r="F44" s="259">
        <f aca="true" t="shared" si="12" ref="F44:K44">F33</f>
        <v>128</v>
      </c>
      <c r="G44" s="259">
        <f t="shared" si="12"/>
        <v>43</v>
      </c>
      <c r="H44" s="259">
        <f t="shared" si="12"/>
        <v>160</v>
      </c>
      <c r="I44" s="259">
        <f t="shared" si="12"/>
        <v>101</v>
      </c>
      <c r="J44" s="259">
        <f t="shared" si="12"/>
        <v>432</v>
      </c>
      <c r="K44" s="259">
        <f t="shared" si="12"/>
        <v>160</v>
      </c>
      <c r="L44" s="259">
        <f aca="true" t="shared" si="13" ref="L44:Q44">L33</f>
        <v>156</v>
      </c>
      <c r="M44" s="259">
        <f t="shared" si="13"/>
        <v>-17</v>
      </c>
      <c r="N44" s="259">
        <f t="shared" si="13"/>
        <v>6</v>
      </c>
      <c r="O44" s="259">
        <f t="shared" si="13"/>
        <v>305</v>
      </c>
      <c r="P44" s="259">
        <f t="shared" si="13"/>
        <v>101</v>
      </c>
      <c r="Q44" s="259">
        <f t="shared" si="13"/>
        <v>27</v>
      </c>
    </row>
    <row r="45" spans="1:17" s="18" customFormat="1" ht="17.25" customHeight="1" thickBot="1">
      <c r="A45" s="7"/>
      <c r="B45" s="28" t="s">
        <v>13</v>
      </c>
      <c r="C45" s="412"/>
      <c r="D45" s="43">
        <f aca="true" t="shared" si="14" ref="D45:N45">IF((SUM(D43:D44))=D7,SUM(D43:D44),"Error")</f>
        <v>504</v>
      </c>
      <c r="E45" s="43">
        <f>IF((SUM(E43:E44))=E7,SUM(E43:E44),"Error")</f>
        <v>1957</v>
      </c>
      <c r="F45" s="43">
        <f>IF((SUM(F43:F44))=F7,SUM(F43:F44),"Error")</f>
        <v>660</v>
      </c>
      <c r="G45" s="43">
        <f t="shared" si="14"/>
        <v>530</v>
      </c>
      <c r="H45" s="43">
        <f t="shared" si="14"/>
        <v>607</v>
      </c>
      <c r="I45" s="43">
        <f t="shared" si="14"/>
        <v>644</v>
      </c>
      <c r="J45" s="43">
        <f t="shared" si="14"/>
        <v>2441</v>
      </c>
      <c r="K45" s="43">
        <f t="shared" si="14"/>
        <v>620</v>
      </c>
      <c r="L45" s="43">
        <f t="shared" si="14"/>
        <v>654</v>
      </c>
      <c r="M45" s="43">
        <f t="shared" si="14"/>
        <v>493</v>
      </c>
      <c r="N45" s="43">
        <f t="shared" si="14"/>
        <v>478</v>
      </c>
      <c r="O45" s="43">
        <f>IF((SUM(O43:O44))=O7,SUM(O43:O44),"Error")</f>
        <v>2245</v>
      </c>
      <c r="P45" s="43">
        <f>IF((SUM(P43:P44))=P7,SUM(P43:P44),"Error")</f>
        <v>681</v>
      </c>
      <c r="Q45" s="43">
        <f>IF((SUM(Q43:Q44))=Q7,SUM(Q43:Q44),"Error")</f>
        <v>550</v>
      </c>
    </row>
    <row r="46" spans="1:17" ht="12" customHeight="1">
      <c r="A46" s="7"/>
      <c r="B46" s="253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7.25" customHeight="1">
      <c r="A47" s="7"/>
      <c r="B47" s="13" t="s">
        <v>175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1:17" s="18" customFormat="1" ht="17.25" customHeight="1" thickBot="1">
      <c r="A48" s="7"/>
      <c r="B48" s="61" t="s">
        <v>176</v>
      </c>
      <c r="C48" s="412"/>
      <c r="D48" s="411">
        <f>(D32/D69)*10</f>
        <v>46</v>
      </c>
      <c r="E48" s="411">
        <f>(E32/E69)*10</f>
        <v>50</v>
      </c>
      <c r="F48" s="411">
        <f>(F32*4/F69)*10</f>
        <v>48</v>
      </c>
      <c r="G48" s="411">
        <f>(G32*4/G69)*10</f>
        <v>46</v>
      </c>
      <c r="H48" s="411">
        <f>(H32*4/H69)*10</f>
        <v>50</v>
      </c>
      <c r="I48" s="411">
        <f>(I32*4/I69)*10</f>
        <v>62</v>
      </c>
      <c r="J48" s="411">
        <f>(J32/J69)*10</f>
        <v>52</v>
      </c>
      <c r="K48" s="411">
        <f>(K32*4/K69)*10</f>
        <v>49</v>
      </c>
      <c r="L48" s="411">
        <f>(L32*4/L69)*10</f>
        <v>51</v>
      </c>
      <c r="M48" s="411">
        <f>(M32*4/M69)*10</f>
        <v>56</v>
      </c>
      <c r="N48" s="411">
        <f>(N32*4/N69)*10</f>
        <v>53</v>
      </c>
      <c r="O48" s="411">
        <f>(O32/O69)*10</f>
        <v>52</v>
      </c>
      <c r="P48" s="411">
        <f>(P32*4/P69)*10</f>
        <v>47</v>
      </c>
      <c r="Q48" s="411">
        <f>(Q32*4/Q69)*10</f>
        <v>53</v>
      </c>
    </row>
    <row r="49" spans="1:17" ht="12" customHeight="1">
      <c r="A49" s="7"/>
      <c r="B49" s="253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7" s="18" customFormat="1" ht="17.25" customHeight="1">
      <c r="A50" s="7"/>
      <c r="B50" s="3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51" spans="1:17" ht="21.75" customHeight="1" thickBot="1">
      <c r="A51" s="7"/>
      <c r="B51" s="9" t="s">
        <v>177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24" customHeight="1" thickTop="1">
      <c r="A52" s="7"/>
      <c r="B52" s="13" t="s">
        <v>29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8" customFormat="1" ht="17.25" customHeight="1">
      <c r="A53" s="7"/>
      <c r="B53" s="30" t="s">
        <v>171</v>
      </c>
      <c r="C53" s="260"/>
      <c r="D53" s="54">
        <f aca="true" t="shared" si="15" ref="D53:K53">SUM(D54:D60)</f>
        <v>169.3</v>
      </c>
      <c r="E53" s="54">
        <f t="shared" si="15"/>
        <v>185.5</v>
      </c>
      <c r="F53" s="54">
        <f>SUM(F54:F60)</f>
        <v>193.8</v>
      </c>
      <c r="G53" s="54">
        <f t="shared" si="15"/>
        <v>190.6</v>
      </c>
      <c r="H53" s="54">
        <f t="shared" si="15"/>
        <v>189.5</v>
      </c>
      <c r="I53" s="54">
        <f t="shared" si="15"/>
        <v>196</v>
      </c>
      <c r="J53" s="54">
        <f t="shared" si="15"/>
        <v>196</v>
      </c>
      <c r="K53" s="54">
        <f t="shared" si="15"/>
        <v>198.9</v>
      </c>
      <c r="L53" s="54">
        <f aca="true" t="shared" si="16" ref="L53:Q53">SUM(L54:L60)</f>
        <v>190.7</v>
      </c>
      <c r="M53" s="54">
        <f t="shared" si="16"/>
        <v>188.3</v>
      </c>
      <c r="N53" s="54">
        <f t="shared" si="16"/>
        <v>190.9</v>
      </c>
      <c r="O53" s="54">
        <f t="shared" si="16"/>
        <v>190.9</v>
      </c>
      <c r="P53" s="54">
        <f t="shared" si="16"/>
        <v>197.1</v>
      </c>
      <c r="Q53" s="54">
        <f t="shared" si="16"/>
        <v>199.1</v>
      </c>
    </row>
    <row r="54" spans="1:17" s="18" customFormat="1" ht="17.25" customHeight="1">
      <c r="A54" s="7"/>
      <c r="B54" s="156" t="s">
        <v>178</v>
      </c>
      <c r="C54" s="261"/>
      <c r="D54" s="326">
        <v>31.6</v>
      </c>
      <c r="E54" s="326">
        <v>25.3</v>
      </c>
      <c r="F54" s="74">
        <v>25</v>
      </c>
      <c r="G54" s="74">
        <v>24.5</v>
      </c>
      <c r="H54" s="74">
        <v>23.3</v>
      </c>
      <c r="I54" s="74">
        <v>27.3</v>
      </c>
      <c r="J54" s="57">
        <f aca="true" t="shared" si="17" ref="J54:J60">+I54</f>
        <v>27.3</v>
      </c>
      <c r="K54" s="74">
        <v>27.2</v>
      </c>
      <c r="L54" s="74">
        <v>25.5</v>
      </c>
      <c r="M54" s="74">
        <v>25.6</v>
      </c>
      <c r="N54" s="74">
        <v>24.9</v>
      </c>
      <c r="O54" s="57">
        <f aca="true" t="shared" si="18" ref="O54:O60">+N54</f>
        <v>24.9</v>
      </c>
      <c r="P54" s="74">
        <v>25</v>
      </c>
      <c r="Q54" s="74">
        <v>24.8</v>
      </c>
    </row>
    <row r="55" spans="1:17" s="18" customFormat="1" ht="17.25" customHeight="1">
      <c r="A55" s="7"/>
      <c r="B55" s="156" t="s">
        <v>179</v>
      </c>
      <c r="C55" s="262"/>
      <c r="D55" s="376">
        <v>36.6</v>
      </c>
      <c r="E55" s="376">
        <v>32.2</v>
      </c>
      <c r="F55" s="263">
        <v>33.6</v>
      </c>
      <c r="G55" s="263">
        <v>34.7</v>
      </c>
      <c r="H55" s="263">
        <v>32.4</v>
      </c>
      <c r="I55" s="263">
        <v>30.8</v>
      </c>
      <c r="J55" s="264">
        <f t="shared" si="17"/>
        <v>30.8</v>
      </c>
      <c r="K55" s="263">
        <v>30</v>
      </c>
      <c r="L55" s="263">
        <v>28.5</v>
      </c>
      <c r="M55" s="263">
        <v>27.2</v>
      </c>
      <c r="N55" s="263">
        <v>28.4</v>
      </c>
      <c r="O55" s="264">
        <f t="shared" si="18"/>
        <v>28.4</v>
      </c>
      <c r="P55" s="263">
        <v>27.5</v>
      </c>
      <c r="Q55" s="263">
        <v>28.9</v>
      </c>
    </row>
    <row r="56" spans="1:17" s="18" customFormat="1" ht="17.25" customHeight="1">
      <c r="A56" s="7"/>
      <c r="B56" s="156" t="s">
        <v>180</v>
      </c>
      <c r="C56" s="262"/>
      <c r="D56" s="376">
        <v>36.2</v>
      </c>
      <c r="E56" s="376">
        <v>41.5</v>
      </c>
      <c r="F56" s="263">
        <v>42.2</v>
      </c>
      <c r="G56" s="263">
        <v>41.3</v>
      </c>
      <c r="H56" s="263">
        <v>41.3</v>
      </c>
      <c r="I56" s="263">
        <v>43.4</v>
      </c>
      <c r="J56" s="264">
        <f t="shared" si="17"/>
        <v>43.4</v>
      </c>
      <c r="K56" s="263">
        <v>45.5</v>
      </c>
      <c r="L56" s="263">
        <v>45.5</v>
      </c>
      <c r="M56" s="263">
        <v>46.5</v>
      </c>
      <c r="N56" s="263">
        <v>47.1</v>
      </c>
      <c r="O56" s="264">
        <f t="shared" si="18"/>
        <v>47.1</v>
      </c>
      <c r="P56" s="263">
        <v>47.6</v>
      </c>
      <c r="Q56" s="263">
        <v>47.8</v>
      </c>
    </row>
    <row r="57" spans="1:17" s="18" customFormat="1" ht="17.25" customHeight="1">
      <c r="A57" s="7"/>
      <c r="B57" s="156" t="s">
        <v>181</v>
      </c>
      <c r="C57" s="262"/>
      <c r="D57" s="376">
        <v>15.3</v>
      </c>
      <c r="E57" s="376">
        <v>18.4</v>
      </c>
      <c r="F57" s="263">
        <v>19.8</v>
      </c>
      <c r="G57" s="263">
        <v>19.8</v>
      </c>
      <c r="H57" s="263">
        <v>17.8</v>
      </c>
      <c r="I57" s="263">
        <v>18.3</v>
      </c>
      <c r="J57" s="264">
        <f t="shared" si="17"/>
        <v>18.3</v>
      </c>
      <c r="K57" s="263">
        <v>18.4</v>
      </c>
      <c r="L57" s="263">
        <v>17.6</v>
      </c>
      <c r="M57" s="263">
        <v>17.7</v>
      </c>
      <c r="N57" s="263">
        <v>19</v>
      </c>
      <c r="O57" s="264">
        <f t="shared" si="18"/>
        <v>19</v>
      </c>
      <c r="P57" s="263">
        <v>18</v>
      </c>
      <c r="Q57" s="263">
        <v>19.7</v>
      </c>
    </row>
    <row r="58" spans="1:17" s="18" customFormat="1" ht="17.25" customHeight="1">
      <c r="A58" s="7"/>
      <c r="B58" s="156" t="s">
        <v>182</v>
      </c>
      <c r="C58" s="262"/>
      <c r="D58" s="376">
        <v>6.4</v>
      </c>
      <c r="E58" s="376">
        <v>10</v>
      </c>
      <c r="F58" s="263">
        <v>11.9</v>
      </c>
      <c r="G58" s="263">
        <v>11.6</v>
      </c>
      <c r="H58" s="263">
        <v>13</v>
      </c>
      <c r="I58" s="263">
        <v>14.6</v>
      </c>
      <c r="J58" s="264">
        <f t="shared" si="17"/>
        <v>14.6</v>
      </c>
      <c r="K58" s="263">
        <v>15.1</v>
      </c>
      <c r="L58" s="263">
        <v>15.2</v>
      </c>
      <c r="M58" s="263">
        <v>14.4</v>
      </c>
      <c r="N58" s="263">
        <v>14.6</v>
      </c>
      <c r="O58" s="264">
        <f t="shared" si="18"/>
        <v>14.6</v>
      </c>
      <c r="P58" s="263">
        <v>15.3</v>
      </c>
      <c r="Q58" s="263">
        <v>15.1</v>
      </c>
    </row>
    <row r="59" spans="1:17" s="18" customFormat="1" ht="17.25" customHeight="1">
      <c r="A59" s="7"/>
      <c r="B59" s="156" t="s">
        <v>183</v>
      </c>
      <c r="C59" s="262"/>
      <c r="D59" s="376">
        <v>38.1</v>
      </c>
      <c r="E59" s="376">
        <v>51.9</v>
      </c>
      <c r="F59" s="263">
        <v>54.5</v>
      </c>
      <c r="G59" s="263">
        <v>52.3</v>
      </c>
      <c r="H59" s="263">
        <v>54.1</v>
      </c>
      <c r="I59" s="263">
        <v>54.2</v>
      </c>
      <c r="J59" s="264">
        <f t="shared" si="17"/>
        <v>54.2</v>
      </c>
      <c r="K59" s="263">
        <v>55.7</v>
      </c>
      <c r="L59" s="263">
        <v>53</v>
      </c>
      <c r="M59" s="263">
        <v>50.8</v>
      </c>
      <c r="N59" s="263">
        <v>51.5</v>
      </c>
      <c r="O59" s="264">
        <f t="shared" si="18"/>
        <v>51.5</v>
      </c>
      <c r="P59" s="263">
        <v>58.7</v>
      </c>
      <c r="Q59" s="263">
        <v>58.3</v>
      </c>
    </row>
    <row r="60" spans="1:17" s="18" customFormat="1" ht="17.25" customHeight="1">
      <c r="A60" s="7"/>
      <c r="B60" s="265" t="s">
        <v>184</v>
      </c>
      <c r="C60" s="266"/>
      <c r="D60" s="377">
        <v>5.1</v>
      </c>
      <c r="E60" s="377">
        <v>6.2</v>
      </c>
      <c r="F60" s="114">
        <v>6.8</v>
      </c>
      <c r="G60" s="114">
        <v>6.4</v>
      </c>
      <c r="H60" s="114">
        <v>7.6</v>
      </c>
      <c r="I60" s="114">
        <v>7.4</v>
      </c>
      <c r="J60" s="58">
        <f t="shared" si="17"/>
        <v>7.4</v>
      </c>
      <c r="K60" s="114">
        <v>7</v>
      </c>
      <c r="L60" s="114">
        <v>5.4</v>
      </c>
      <c r="M60" s="114">
        <v>6.1</v>
      </c>
      <c r="N60" s="114">
        <v>5.4</v>
      </c>
      <c r="O60" s="58">
        <f t="shared" si="18"/>
        <v>5.4</v>
      </c>
      <c r="P60" s="114">
        <v>5</v>
      </c>
      <c r="Q60" s="114">
        <v>4.5</v>
      </c>
    </row>
    <row r="61" spans="1:17" s="18" customFormat="1" ht="17.25" customHeight="1">
      <c r="A61" s="7"/>
      <c r="B61" s="30" t="s">
        <v>172</v>
      </c>
      <c r="C61" s="260"/>
      <c r="D61" s="54">
        <f>SUM(D62:D63)</f>
        <v>166.4</v>
      </c>
      <c r="E61" s="54">
        <f>SUM(E62:E63)</f>
        <v>187.5</v>
      </c>
      <c r="F61" s="54">
        <f>SUM(F62:F63)</f>
        <v>195.6</v>
      </c>
      <c r="G61" s="54">
        <f>SUM(G62:G63)</f>
        <v>187.6</v>
      </c>
      <c r="H61" s="54">
        <f>SUM(H62:H63)</f>
        <v>190.4</v>
      </c>
      <c r="I61" s="54">
        <f>SUM(I62:I63)</f>
        <v>185.6</v>
      </c>
      <c r="J61" s="54">
        <f>SUM(J62:J63)</f>
        <v>185.6</v>
      </c>
      <c r="K61" s="54">
        <f>SUM(K62:K63)</f>
        <v>194.2</v>
      </c>
      <c r="L61" s="54">
        <f>SUM(L62:L63)</f>
        <v>187.7</v>
      </c>
      <c r="M61" s="54">
        <f>SUM(M62:M63)</f>
        <v>176</v>
      </c>
      <c r="N61" s="54">
        <f>SUM(N62:N63)</f>
        <v>173.4</v>
      </c>
      <c r="O61" s="54">
        <f>SUM(O62:O63)</f>
        <v>173.4</v>
      </c>
      <c r="P61" s="54">
        <f>SUM(P62:P63)</f>
        <v>162.8</v>
      </c>
      <c r="Q61" s="54">
        <f>SUM(Q62:Q63)</f>
        <v>160.5</v>
      </c>
    </row>
    <row r="62" spans="1:17" s="18" customFormat="1" ht="17.25" customHeight="1">
      <c r="A62" s="7"/>
      <c r="B62" s="156" t="s">
        <v>185</v>
      </c>
      <c r="C62" s="262"/>
      <c r="D62" s="376">
        <v>108</v>
      </c>
      <c r="E62" s="376">
        <v>124.9</v>
      </c>
      <c r="F62" s="263">
        <v>129.5</v>
      </c>
      <c r="G62" s="263">
        <v>124.6</v>
      </c>
      <c r="H62" s="263">
        <v>126.5</v>
      </c>
      <c r="I62" s="263">
        <v>122.2</v>
      </c>
      <c r="J62" s="264">
        <f>+I62</f>
        <v>122.2</v>
      </c>
      <c r="K62" s="263">
        <v>129.4</v>
      </c>
      <c r="L62" s="263">
        <v>124.1</v>
      </c>
      <c r="M62" s="263">
        <v>117.1</v>
      </c>
      <c r="N62" s="263">
        <v>116</v>
      </c>
      <c r="O62" s="264">
        <f>+N62</f>
        <v>116</v>
      </c>
      <c r="P62" s="263">
        <v>105.1</v>
      </c>
      <c r="Q62" s="263">
        <v>103</v>
      </c>
    </row>
    <row r="63" spans="1:17" s="18" customFormat="1" ht="17.25" customHeight="1">
      <c r="A63" s="7"/>
      <c r="B63" s="156" t="s">
        <v>186</v>
      </c>
      <c r="C63" s="262"/>
      <c r="D63" s="376">
        <v>58.4</v>
      </c>
      <c r="E63" s="376">
        <v>62.6</v>
      </c>
      <c r="F63" s="263">
        <v>66.1</v>
      </c>
      <c r="G63" s="263">
        <v>63</v>
      </c>
      <c r="H63" s="263">
        <v>63.9</v>
      </c>
      <c r="I63" s="263">
        <v>63.4</v>
      </c>
      <c r="J63" s="264">
        <f>+I63</f>
        <v>63.4</v>
      </c>
      <c r="K63" s="263">
        <v>64.8</v>
      </c>
      <c r="L63" s="263">
        <v>63.6</v>
      </c>
      <c r="M63" s="263">
        <v>58.9</v>
      </c>
      <c r="N63" s="263">
        <v>57.4</v>
      </c>
      <c r="O63" s="264">
        <f>+N63</f>
        <v>57.4</v>
      </c>
      <c r="P63" s="263">
        <v>57.7</v>
      </c>
      <c r="Q63" s="263">
        <v>57.5</v>
      </c>
    </row>
    <row r="64" spans="1:17" s="18" customFormat="1" ht="17.25" customHeight="1">
      <c r="A64" s="7"/>
      <c r="B64" s="30" t="s">
        <v>187</v>
      </c>
      <c r="C64" s="260"/>
      <c r="D64" s="378">
        <v>18.8</v>
      </c>
      <c r="E64" s="378">
        <v>0.3</v>
      </c>
      <c r="F64" s="267">
        <v>0.4</v>
      </c>
      <c r="G64" s="267">
        <v>0.4</v>
      </c>
      <c r="H64" s="267">
        <v>0.3</v>
      </c>
      <c r="I64" s="267">
        <v>0.4</v>
      </c>
      <c r="J64" s="54">
        <f>+I64</f>
        <v>0.4</v>
      </c>
      <c r="K64" s="267">
        <v>0.3</v>
      </c>
      <c r="L64" s="267">
        <v>0.8</v>
      </c>
      <c r="M64" s="267">
        <v>0.9</v>
      </c>
      <c r="N64" s="267">
        <v>0.9</v>
      </c>
      <c r="O64" s="54">
        <f>+N64</f>
        <v>0.9</v>
      </c>
      <c r="P64" s="267">
        <v>0.9</v>
      </c>
      <c r="Q64" s="267">
        <v>0.9</v>
      </c>
    </row>
    <row r="65" spans="1:17" s="18" customFormat="1" ht="17.25" customHeight="1">
      <c r="A65" s="7"/>
      <c r="B65" s="27" t="s">
        <v>6</v>
      </c>
      <c r="C65" s="268"/>
      <c r="D65" s="379">
        <v>19</v>
      </c>
      <c r="E65" s="379">
        <v>0</v>
      </c>
      <c r="F65" s="77">
        <v>0</v>
      </c>
      <c r="G65" s="77">
        <v>0</v>
      </c>
      <c r="H65" s="77">
        <v>0</v>
      </c>
      <c r="I65" s="77">
        <v>0</v>
      </c>
      <c r="J65" s="269">
        <f>+I65</f>
        <v>0</v>
      </c>
      <c r="K65" s="77">
        <v>0</v>
      </c>
      <c r="L65" s="77">
        <v>0</v>
      </c>
      <c r="M65" s="77">
        <v>0</v>
      </c>
      <c r="N65" s="77">
        <v>0</v>
      </c>
      <c r="O65" s="269">
        <f>+N65</f>
        <v>0</v>
      </c>
      <c r="P65" s="77">
        <v>0</v>
      </c>
      <c r="Q65" s="77">
        <v>0</v>
      </c>
    </row>
    <row r="66" spans="1:17" s="18" customFormat="1" ht="17.25" customHeight="1" thickBot="1">
      <c r="A66" s="7"/>
      <c r="B66" s="28" t="s">
        <v>28</v>
      </c>
      <c r="C66" s="435">
        <v>534.2</v>
      </c>
      <c r="D66" s="270">
        <f>IF((D53+D61+D64+D65)='Assets under Management'!D8,(D53+D61+D64+D65),"Error")</f>
        <v>373.5</v>
      </c>
      <c r="E66" s="270">
        <f>IF((E53+E61+E64+E65)='Assets under Management'!E8,(E53+E61+E64+E65),"Error")</f>
        <v>373.3</v>
      </c>
      <c r="F66" s="270">
        <f>IF((F53+F61+F64+F65)='Assets under Management'!F8,(F53+F61+F64+F65),"Error")</f>
        <v>389.8</v>
      </c>
      <c r="G66" s="270">
        <f>IF((G53+G61+G64+G65)='Assets under Management'!G8,(G53+G61+G64+G65),"Error")</f>
        <v>378.6</v>
      </c>
      <c r="H66" s="270">
        <f>IF((H53+H61+H64+H65)='Assets under Management'!H8,(H53+H61+H64+H65),"Error")</f>
        <v>380.2</v>
      </c>
      <c r="I66" s="270">
        <f>IF((I53+I61+I64+I65)='Assets under Management'!I8,(I53+I61+I64+I65),"Error")</f>
        <v>382</v>
      </c>
      <c r="J66" s="270">
        <f>IF((J53+J61+J64+J65)='Assets under Management'!J8,(J53+J61+J64+J65),"Error")</f>
        <v>382</v>
      </c>
      <c r="K66" s="270">
        <f>IF((K53+K61+K64+K65)='Assets under Management'!K8,(K53+K61+K64+K65),"Error")</f>
        <v>393.4</v>
      </c>
      <c r="L66" s="270">
        <f>IF((L53+L61+L64+L65)='Assets under Management'!L8,(L53+L61+L64+L65),"Error")</f>
        <v>379.2</v>
      </c>
      <c r="M66" s="270">
        <f>IF((M53+M61+M64+M65)='Assets under Management'!M8,(M53+M61+M64+M65),"Error")</f>
        <v>365.2</v>
      </c>
      <c r="N66" s="270">
        <f>IF((N53+N61+N64+N65)='Assets under Management'!N8,(N53+N61+N64+N65),"Error")</f>
        <v>365.2</v>
      </c>
      <c r="O66" s="270">
        <f>IF((O53+O61+O64+O65)='Assets under Management'!O8,(O53+O61+O64+O65),"Error")</f>
        <v>365.2</v>
      </c>
      <c r="P66" s="270">
        <f>IF((P53+P61+P64+P65)='Assets under Management'!P8,(P53+P61+P64+P65),"Error")</f>
        <v>360.8</v>
      </c>
      <c r="Q66" s="270">
        <f>IF((Q53+Q61+Q64+Q65)='Assets under Management'!Q8,(Q53+Q61+Q64+Q65),"Error")</f>
        <v>360.5</v>
      </c>
    </row>
    <row r="67" spans="1:17" ht="12" customHeight="1">
      <c r="A67" s="7"/>
      <c r="B67" s="253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1:17" ht="17.25" customHeight="1">
      <c r="A68" s="7"/>
      <c r="B68" s="81" t="s">
        <v>152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</row>
    <row r="69" spans="1:17" s="18" customFormat="1" ht="17.25" customHeight="1" thickBot="1">
      <c r="A69" s="7"/>
      <c r="B69" s="238" t="s">
        <v>153</v>
      </c>
      <c r="C69" s="425"/>
      <c r="D69" s="239">
        <v>467.8</v>
      </c>
      <c r="E69" s="239">
        <v>380.2</v>
      </c>
      <c r="F69" s="239">
        <v>380.3</v>
      </c>
      <c r="G69" s="239">
        <v>392.7</v>
      </c>
      <c r="H69" s="239">
        <v>378.7</v>
      </c>
      <c r="I69" s="239">
        <v>386</v>
      </c>
      <c r="J69" s="239">
        <v>384.5</v>
      </c>
      <c r="K69" s="239">
        <v>389.5</v>
      </c>
      <c r="L69" s="239">
        <v>385.8</v>
      </c>
      <c r="M69" s="239">
        <v>364.5</v>
      </c>
      <c r="N69" s="239">
        <v>365.1</v>
      </c>
      <c r="O69" s="239">
        <v>376.2</v>
      </c>
      <c r="P69" s="239">
        <v>366.9</v>
      </c>
      <c r="Q69" s="239">
        <v>361.5</v>
      </c>
    </row>
    <row r="70" spans="1:17" ht="12" customHeight="1">
      <c r="A70" s="7"/>
      <c r="B70" s="253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ht="13.5" customHeight="1">
      <c r="A71" s="7"/>
      <c r="B71" s="81" t="s">
        <v>188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</row>
    <row r="72" spans="1:17" ht="17.25" customHeight="1">
      <c r="A72" s="7"/>
      <c r="B72" s="271" t="s">
        <v>74</v>
      </c>
      <c r="C72" s="337">
        <v>161.2</v>
      </c>
      <c r="D72" s="337">
        <v>105.9</v>
      </c>
      <c r="E72" s="337">
        <v>94.8</v>
      </c>
      <c r="F72" s="272">
        <v>100.1</v>
      </c>
      <c r="G72" s="272">
        <v>101.3</v>
      </c>
      <c r="H72" s="272">
        <v>96.4</v>
      </c>
      <c r="I72" s="273">
        <v>100.8</v>
      </c>
      <c r="J72" s="274">
        <f>+I72</f>
        <v>100.8</v>
      </c>
      <c r="K72" s="273">
        <v>102.4</v>
      </c>
      <c r="L72" s="273">
        <v>97.4</v>
      </c>
      <c r="M72" s="273">
        <v>95.9</v>
      </c>
      <c r="N72" s="273">
        <v>93.5</v>
      </c>
      <c r="O72" s="309">
        <f>+N72</f>
        <v>93.5</v>
      </c>
      <c r="P72" s="273">
        <v>83.5</v>
      </c>
      <c r="Q72" s="273">
        <v>93.5</v>
      </c>
    </row>
    <row r="73" spans="1:17" ht="17.25" customHeight="1">
      <c r="A73" s="7"/>
      <c r="B73" s="275" t="s">
        <v>75</v>
      </c>
      <c r="C73" s="338">
        <v>74.9</v>
      </c>
      <c r="D73" s="338">
        <v>56.5</v>
      </c>
      <c r="E73" s="338">
        <v>61.5</v>
      </c>
      <c r="F73" s="276">
        <v>62.9</v>
      </c>
      <c r="G73" s="276">
        <v>59.1</v>
      </c>
      <c r="H73" s="276">
        <v>62.3</v>
      </c>
      <c r="I73" s="277">
        <v>58.7</v>
      </c>
      <c r="J73" s="278">
        <f>+I73</f>
        <v>58.7</v>
      </c>
      <c r="K73" s="277">
        <v>63.2</v>
      </c>
      <c r="L73" s="277">
        <v>59.9</v>
      </c>
      <c r="M73" s="273">
        <v>56</v>
      </c>
      <c r="N73" s="273">
        <v>59</v>
      </c>
      <c r="O73" s="279">
        <f>+N73</f>
        <v>59</v>
      </c>
      <c r="P73" s="277">
        <v>44.5</v>
      </c>
      <c r="Q73" s="277">
        <v>47.3</v>
      </c>
    </row>
    <row r="74" spans="1:17" ht="17.25" customHeight="1">
      <c r="A74" s="7"/>
      <c r="B74" s="275" t="s">
        <v>76</v>
      </c>
      <c r="C74" s="339">
        <v>232.7</v>
      </c>
      <c r="D74" s="339">
        <v>186.6</v>
      </c>
      <c r="E74" s="339">
        <v>197.6</v>
      </c>
      <c r="F74" s="272">
        <v>205.5</v>
      </c>
      <c r="G74" s="272">
        <v>198.9</v>
      </c>
      <c r="H74" s="272">
        <v>200.8</v>
      </c>
      <c r="I74" s="273">
        <v>201.3</v>
      </c>
      <c r="J74" s="279">
        <f>+I74</f>
        <v>201.3</v>
      </c>
      <c r="K74" s="273">
        <v>205.1</v>
      </c>
      <c r="L74" s="273">
        <v>199.7</v>
      </c>
      <c r="M74" s="273">
        <v>191.9</v>
      </c>
      <c r="N74" s="273">
        <v>190.7</v>
      </c>
      <c r="O74" s="279">
        <f>+N74</f>
        <v>190.7</v>
      </c>
      <c r="P74" s="273">
        <v>208.3</v>
      </c>
      <c r="Q74" s="273">
        <v>195.1</v>
      </c>
    </row>
    <row r="75" spans="1:17" ht="17.25" customHeight="1">
      <c r="A75" s="7"/>
      <c r="B75" s="280" t="s">
        <v>6</v>
      </c>
      <c r="C75" s="340">
        <v>65.4</v>
      </c>
      <c r="D75" s="340">
        <v>24.5</v>
      </c>
      <c r="E75" s="340">
        <v>19.4</v>
      </c>
      <c r="F75" s="281">
        <v>21.3</v>
      </c>
      <c r="G75" s="281">
        <v>19.3</v>
      </c>
      <c r="H75" s="281">
        <v>20.7</v>
      </c>
      <c r="I75" s="282">
        <v>21.2</v>
      </c>
      <c r="J75" s="283">
        <f>+I75</f>
        <v>21.2</v>
      </c>
      <c r="K75" s="282">
        <v>22.7</v>
      </c>
      <c r="L75" s="282">
        <v>22.2</v>
      </c>
      <c r="M75" s="282">
        <v>21.4</v>
      </c>
      <c r="N75" s="282">
        <v>22</v>
      </c>
      <c r="O75" s="283">
        <f>+N75</f>
        <v>22</v>
      </c>
      <c r="P75" s="282">
        <v>24.5</v>
      </c>
      <c r="Q75" s="282">
        <v>24.6</v>
      </c>
    </row>
    <row r="76" spans="1:17" ht="17.25" customHeight="1" thickBot="1">
      <c r="A76" s="7"/>
      <c r="B76" s="21" t="s">
        <v>77</v>
      </c>
      <c r="C76" s="284">
        <f>IF((SUM(C72:C75))='Assets under Management'!C8,SUM(C72:C75),"Error")</f>
        <v>534.2</v>
      </c>
      <c r="D76" s="284">
        <f>IF((SUM(D72:D75))='Assets under Management'!D8,SUM(D72:D75),"Error")</f>
        <v>373.5</v>
      </c>
      <c r="E76" s="285">
        <f>IF((SUM(E72:E75))='Assets under Management'!E8,SUM(E72:E75),"Error")</f>
        <v>373.3</v>
      </c>
      <c r="F76" s="284">
        <f>IF((SUM(F72:F75))='Assets under Management'!F8,SUM(F72:F75),"Error")</f>
        <v>389.8</v>
      </c>
      <c r="G76" s="285">
        <f>IF((SUM(G72:G75))='Assets under Management'!G8,SUM(G72:G75),"Error")</f>
        <v>378.6</v>
      </c>
      <c r="H76" s="285">
        <f>IF((SUM(H72:H75))='Assets under Management'!H8,SUM(H72:H75),"Error")</f>
        <v>380.2</v>
      </c>
      <c r="I76" s="286">
        <f>IF((SUM(I72:I75))='Assets under Management'!I8,SUM(I72:I75),"Error")</f>
        <v>382</v>
      </c>
      <c r="J76" s="286">
        <f>IF((SUM(J72:J75))='Assets under Management'!J8,SUM(J72:J75),"Error")</f>
        <v>382</v>
      </c>
      <c r="K76" s="284">
        <f>IF((SUM(K72:K75))='Assets under Management'!K8,SUM(K72:K75),"Error")</f>
        <v>393.4</v>
      </c>
      <c r="L76" s="284">
        <f>IF((SUM(L72:L75))='Assets under Management'!L8,SUM(L72:L75),"Error")</f>
        <v>379.2</v>
      </c>
      <c r="M76" s="284">
        <f>IF((SUM(M72:M75))='Assets under Management'!M8,SUM(M72:M75),"Error")</f>
        <v>365.2</v>
      </c>
      <c r="N76" s="285">
        <f>IF((SUM(N72:N75))='Assets under Management'!N8,SUM(N72:N75),"Error")</f>
        <v>365.2</v>
      </c>
      <c r="O76" s="286">
        <f>IF((SUM(O72:O75))='Assets under Management'!O8,SUM(O72:O75),"Error")</f>
        <v>365.2</v>
      </c>
      <c r="P76" s="284">
        <f>IF((SUM(P72:P75))='Assets under Management'!P8,SUM(P72:P75),"Error")</f>
        <v>360.8</v>
      </c>
      <c r="Q76" s="284">
        <f>IF((SUM(Q72:Q75))='Assets under Management'!Q8,SUM(Q72:Q75),"Error")</f>
        <v>360.5</v>
      </c>
    </row>
    <row r="77" spans="1:17" ht="12" customHeight="1">
      <c r="A77" s="7"/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2.75">
      <c r="A78" s="7"/>
      <c r="B78" s="13" t="s">
        <v>63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7.25" customHeight="1">
      <c r="A79" s="7"/>
      <c r="B79" s="30" t="s">
        <v>64</v>
      </c>
      <c r="C79" s="424"/>
      <c r="D79" s="287">
        <f>+'Assets under Management'!D18</f>
        <v>-36.9</v>
      </c>
      <c r="E79" s="287">
        <f>+'Assets under Management'!E18</f>
        <v>-1.6</v>
      </c>
      <c r="F79" s="287">
        <f>+'Assets under Management'!F18</f>
        <v>10.2</v>
      </c>
      <c r="G79" s="287">
        <f>+'Assets under Management'!G18</f>
        <v>0.7</v>
      </c>
      <c r="H79" s="287">
        <f>+'Assets under Management'!H18</f>
        <v>5.6</v>
      </c>
      <c r="I79" s="287">
        <f>+'Assets under Management'!I18</f>
        <v>3.7</v>
      </c>
      <c r="J79" s="287">
        <f>+'Assets under Management'!J18</f>
        <v>20.2</v>
      </c>
      <c r="K79" s="287">
        <f>+'Assets under Management'!K18</f>
        <v>6.5</v>
      </c>
      <c r="L79" s="287">
        <f>+'Assets under Management'!L18</f>
        <v>3.9</v>
      </c>
      <c r="M79" s="287">
        <f>+'Assets under Management'!M18</f>
        <v>1.5</v>
      </c>
      <c r="N79" s="287">
        <f>+'Assets under Management'!N18</f>
        <v>-6.7</v>
      </c>
      <c r="O79" s="287">
        <f>+'Assets under Management'!O18</f>
        <v>5.2</v>
      </c>
      <c r="P79" s="287">
        <f>+'Assets under Management'!P18</f>
        <v>-11.4</v>
      </c>
      <c r="Q79" s="287">
        <f>+'Assets under Management'!Q18</f>
        <v>0.4</v>
      </c>
    </row>
    <row r="80" spans="1:17" ht="18" customHeight="1">
      <c r="A80" s="7"/>
      <c r="B80" s="30" t="s">
        <v>114</v>
      </c>
      <c r="C80" s="424"/>
      <c r="D80" s="288">
        <f>SUM(D81:D83)</f>
        <v>-123.8</v>
      </c>
      <c r="E80" s="288">
        <f>SUM(E81:E83)</f>
        <v>1.4</v>
      </c>
      <c r="F80" s="288">
        <f>SUM(F81:F83)</f>
        <v>6.3</v>
      </c>
      <c r="G80" s="288">
        <f>SUM(G81:G83)</f>
        <v>-11.9</v>
      </c>
      <c r="H80" s="288">
        <f>SUM(H81:H83)</f>
        <v>-4</v>
      </c>
      <c r="I80" s="288">
        <f aca="true" t="shared" si="19" ref="I80:O80">SUM(I81:I83)</f>
        <v>-1.9</v>
      </c>
      <c r="J80" s="288">
        <f t="shared" si="19"/>
        <v>-11.5</v>
      </c>
      <c r="K80" s="288">
        <f t="shared" si="19"/>
        <v>4.9</v>
      </c>
      <c r="L80" s="288">
        <f t="shared" si="19"/>
        <v>-18.1</v>
      </c>
      <c r="M80" s="288">
        <f t="shared" si="19"/>
        <v>-15.5</v>
      </c>
      <c r="N80" s="288">
        <f t="shared" si="19"/>
        <v>6.7</v>
      </c>
      <c r="O80" s="288">
        <f t="shared" si="19"/>
        <v>-22</v>
      </c>
      <c r="P80" s="288">
        <f>SUM(P81:P83)</f>
        <v>7</v>
      </c>
      <c r="Q80" s="288">
        <f>SUM(Q81:Q83)</f>
        <v>-0.7</v>
      </c>
    </row>
    <row r="81" spans="1:17" ht="17.25" customHeight="1">
      <c r="A81" s="7"/>
      <c r="B81" s="156" t="s">
        <v>115</v>
      </c>
      <c r="C81" s="426"/>
      <c r="D81" s="341">
        <v>-75.3</v>
      </c>
      <c r="E81" s="341">
        <v>28.1</v>
      </c>
      <c r="F81" s="289">
        <v>5.4</v>
      </c>
      <c r="G81" s="289">
        <v>-7.5</v>
      </c>
      <c r="H81" s="289">
        <v>8.7</v>
      </c>
      <c r="I81" s="291">
        <v>4.2</v>
      </c>
      <c r="J81" s="290">
        <f>SUM(F81:I81)</f>
        <v>10.8</v>
      </c>
      <c r="K81" s="291">
        <v>5.7</v>
      </c>
      <c r="L81" s="291">
        <v>-3.9</v>
      </c>
      <c r="M81" s="291">
        <v>-15.9</v>
      </c>
      <c r="N81" s="291">
        <v>3.5</v>
      </c>
      <c r="O81" s="290">
        <f>SUM(K81:N81)</f>
        <v>-10.6</v>
      </c>
      <c r="P81" s="291">
        <v>13.6</v>
      </c>
      <c r="Q81" s="291">
        <v>-1.9</v>
      </c>
    </row>
    <row r="82" spans="1:17" ht="17.25" customHeight="1">
      <c r="A82" s="7"/>
      <c r="B82" s="156" t="s">
        <v>189</v>
      </c>
      <c r="C82" s="426"/>
      <c r="D82" s="341">
        <v>-25.3</v>
      </c>
      <c r="E82" s="341">
        <v>0</v>
      </c>
      <c r="F82" s="289">
        <v>-1.1</v>
      </c>
      <c r="G82" s="289">
        <v>-3.3</v>
      </c>
      <c r="H82" s="289">
        <v>-11.2</v>
      </c>
      <c r="I82" s="292">
        <v>-10.4</v>
      </c>
      <c r="J82" s="290">
        <f>SUM(F82:I82)</f>
        <v>-26</v>
      </c>
      <c r="K82" s="291">
        <v>-0.3</v>
      </c>
      <c r="L82" s="291">
        <v>-14.8</v>
      </c>
      <c r="M82" s="291">
        <v>7.5</v>
      </c>
      <c r="N82" s="291">
        <v>4.3</v>
      </c>
      <c r="O82" s="290">
        <f>SUM(K82:N82)</f>
        <v>-3.3</v>
      </c>
      <c r="P82" s="291">
        <v>-5.2</v>
      </c>
      <c r="Q82" s="291">
        <v>3.9</v>
      </c>
    </row>
    <row r="83" spans="1:17" ht="17.25" customHeight="1">
      <c r="A83" s="7"/>
      <c r="B83" s="157" t="s">
        <v>184</v>
      </c>
      <c r="C83" s="427"/>
      <c r="D83" s="342">
        <v>-23.2</v>
      </c>
      <c r="E83" s="342">
        <v>-26.7</v>
      </c>
      <c r="F83" s="293">
        <v>2</v>
      </c>
      <c r="G83" s="293">
        <v>-1.1</v>
      </c>
      <c r="H83" s="293">
        <v>-1.5</v>
      </c>
      <c r="I83" s="294">
        <v>4.3</v>
      </c>
      <c r="J83" s="288">
        <f>SUM(F83:I83)</f>
        <v>3.7</v>
      </c>
      <c r="K83" s="294">
        <v>-0.5</v>
      </c>
      <c r="L83" s="294">
        <v>0.6</v>
      </c>
      <c r="M83" s="294">
        <v>-7.1</v>
      </c>
      <c r="N83" s="294">
        <v>-1.1</v>
      </c>
      <c r="O83" s="288">
        <f>SUM(K83:N83)</f>
        <v>-8.1</v>
      </c>
      <c r="P83" s="294">
        <v>-1.4</v>
      </c>
      <c r="Q83" s="294">
        <v>-2.7</v>
      </c>
    </row>
    <row r="84" spans="1:17" ht="32.25" customHeight="1" thickBot="1">
      <c r="A84" s="7"/>
      <c r="B84" s="42" t="s">
        <v>131</v>
      </c>
      <c r="C84" s="428"/>
      <c r="D84" s="295">
        <f>+D79+D80</f>
        <v>-160.7</v>
      </c>
      <c r="E84" s="295">
        <f aca="true" t="shared" si="20" ref="E84:L84">+E79+E80</f>
        <v>-0.2</v>
      </c>
      <c r="F84" s="295">
        <f t="shared" si="20"/>
        <v>16.5</v>
      </c>
      <c r="G84" s="295">
        <f t="shared" si="20"/>
        <v>-11.2</v>
      </c>
      <c r="H84" s="295">
        <f t="shared" si="20"/>
        <v>1.6</v>
      </c>
      <c r="I84" s="295">
        <f t="shared" si="20"/>
        <v>1.8</v>
      </c>
      <c r="J84" s="295">
        <f t="shared" si="20"/>
        <v>8.7</v>
      </c>
      <c r="K84" s="295">
        <f t="shared" si="20"/>
        <v>11.4</v>
      </c>
      <c r="L84" s="295">
        <f t="shared" si="20"/>
        <v>-14.2</v>
      </c>
      <c r="M84" s="295">
        <f>+M79+M80</f>
        <v>-14</v>
      </c>
      <c r="N84" s="295">
        <f>+N79+N80</f>
        <v>0</v>
      </c>
      <c r="O84" s="295">
        <f>+O79+O80</f>
        <v>-16.8</v>
      </c>
      <c r="P84" s="295">
        <f>+P79+P80</f>
        <v>-4.4</v>
      </c>
      <c r="Q84" s="295">
        <f>+Q79+Q80</f>
        <v>-0.3</v>
      </c>
    </row>
    <row r="85" spans="1:17" ht="12" customHeight="1">
      <c r="A85" s="7"/>
      <c r="B85" s="11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ht="17.25" customHeight="1">
      <c r="A86" s="7"/>
      <c r="B86" s="13" t="s">
        <v>88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  <row r="87" spans="1:17" ht="17.25" customHeight="1">
      <c r="A87" s="7"/>
      <c r="B87" s="24" t="s">
        <v>64</v>
      </c>
      <c r="C87" s="429"/>
      <c r="D87" s="296">
        <v>-6.9</v>
      </c>
      <c r="E87" s="296">
        <v>-0.4</v>
      </c>
      <c r="F87" s="296">
        <v>10.9</v>
      </c>
      <c r="G87" s="296">
        <v>0.7</v>
      </c>
      <c r="H87" s="296">
        <v>5.9</v>
      </c>
      <c r="I87" s="296">
        <v>3.9</v>
      </c>
      <c r="J87" s="296">
        <v>5.4</v>
      </c>
      <c r="K87" s="296">
        <v>6.8</v>
      </c>
      <c r="L87" s="296">
        <v>4</v>
      </c>
      <c r="M87" s="296">
        <v>1.6</v>
      </c>
      <c r="N87" s="296">
        <v>-7.3</v>
      </c>
      <c r="O87" s="296">
        <v>1.4</v>
      </c>
      <c r="P87" s="296">
        <v>-12.5</v>
      </c>
      <c r="Q87" s="296">
        <v>0.4</v>
      </c>
    </row>
    <row r="88" spans="1:17" ht="17.25" customHeight="1">
      <c r="A88" s="7"/>
      <c r="B88" s="16" t="s">
        <v>114</v>
      </c>
      <c r="C88" s="430"/>
      <c r="D88" s="263">
        <v>-23.2</v>
      </c>
      <c r="E88" s="263">
        <v>0.4</v>
      </c>
      <c r="F88" s="263">
        <v>6.8</v>
      </c>
      <c r="G88" s="263">
        <v>-12.2</v>
      </c>
      <c r="H88" s="263">
        <v>-4.2</v>
      </c>
      <c r="I88" s="263">
        <v>-2</v>
      </c>
      <c r="J88" s="263">
        <v>-3.1</v>
      </c>
      <c r="K88" s="263">
        <v>5.1</v>
      </c>
      <c r="L88" s="263">
        <v>-18.4</v>
      </c>
      <c r="M88" s="263">
        <v>-16.4</v>
      </c>
      <c r="N88" s="263">
        <v>7.3</v>
      </c>
      <c r="O88" s="263">
        <v>-5.8</v>
      </c>
      <c r="P88" s="263">
        <v>7.7</v>
      </c>
      <c r="Q88" s="263">
        <v>-0.8</v>
      </c>
    </row>
    <row r="89" spans="1:17" ht="26.25" thickBot="1">
      <c r="A89" s="7"/>
      <c r="B89" s="42" t="s">
        <v>190</v>
      </c>
      <c r="C89" s="428"/>
      <c r="D89" s="295">
        <f>SUM(D87:D88)</f>
        <v>-30.1</v>
      </c>
      <c r="E89" s="295">
        <f>SUM(E87:E88)</f>
        <v>0</v>
      </c>
      <c r="F89" s="295">
        <f aca="true" t="shared" si="21" ref="F89:O89">SUM(F87:F88)</f>
        <v>17.7</v>
      </c>
      <c r="G89" s="295">
        <f t="shared" si="21"/>
        <v>-11.5</v>
      </c>
      <c r="H89" s="295">
        <f t="shared" si="21"/>
        <v>1.7</v>
      </c>
      <c r="I89" s="295">
        <f t="shared" si="21"/>
        <v>1.9</v>
      </c>
      <c r="J89" s="295">
        <f t="shared" si="21"/>
        <v>2.3</v>
      </c>
      <c r="K89" s="295">
        <f t="shared" si="21"/>
        <v>11.9</v>
      </c>
      <c r="L89" s="295">
        <f t="shared" si="21"/>
        <v>-14.4</v>
      </c>
      <c r="M89" s="295">
        <f t="shared" si="21"/>
        <v>-14.8</v>
      </c>
      <c r="N89" s="295">
        <f t="shared" si="21"/>
        <v>0</v>
      </c>
      <c r="O89" s="295">
        <f t="shared" si="21"/>
        <v>-4.4</v>
      </c>
      <c r="P89" s="295">
        <f>SUM(P87:P88)</f>
        <v>-4.8</v>
      </c>
      <c r="Q89" s="295">
        <f>SUM(Q87:Q88)</f>
        <v>-0.4</v>
      </c>
    </row>
    <row r="90" spans="1:17" ht="12" customHeight="1">
      <c r="A90" s="7"/>
      <c r="B90" s="11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1:17" ht="17.25" customHeight="1">
      <c r="A91" s="7"/>
      <c r="B91" s="13" t="s">
        <v>66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1:17" ht="17.25" customHeight="1">
      <c r="A92" s="7"/>
      <c r="B92" s="24" t="s">
        <v>64</v>
      </c>
      <c r="C92" s="325"/>
      <c r="D92" s="325">
        <v>-6.9</v>
      </c>
      <c r="E92" s="325">
        <v>-0.4</v>
      </c>
      <c r="F92" s="296">
        <v>3.1</v>
      </c>
      <c r="G92" s="296">
        <v>4.3</v>
      </c>
      <c r="H92" s="296">
        <v>5</v>
      </c>
      <c r="I92" s="85">
        <v>5.4</v>
      </c>
      <c r="J92" s="60">
        <f>+I92</f>
        <v>5.4</v>
      </c>
      <c r="K92" s="296">
        <v>4.2</v>
      </c>
      <c r="L92" s="296">
        <v>5.2</v>
      </c>
      <c r="M92" s="296">
        <v>4.1</v>
      </c>
      <c r="N92" s="296">
        <v>1.4</v>
      </c>
      <c r="O92" s="60">
        <f>+N92</f>
        <v>1.4</v>
      </c>
      <c r="P92" s="296">
        <v>-3.2</v>
      </c>
      <c r="Q92" s="296">
        <v>-4.3</v>
      </c>
    </row>
    <row r="93" spans="1:17" ht="17.25" customHeight="1">
      <c r="A93" s="7"/>
      <c r="B93" s="297" t="s">
        <v>114</v>
      </c>
      <c r="C93" s="343"/>
      <c r="D93" s="343">
        <v>-23.2</v>
      </c>
      <c r="E93" s="343">
        <v>0.4</v>
      </c>
      <c r="F93" s="298">
        <v>2.1</v>
      </c>
      <c r="G93" s="298">
        <v>-2.9</v>
      </c>
      <c r="H93" s="298">
        <v>-6.7</v>
      </c>
      <c r="I93" s="298">
        <v>-3.1</v>
      </c>
      <c r="J93" s="299">
        <f>+I93</f>
        <v>-3.1</v>
      </c>
      <c r="K93" s="298">
        <v>-3.3</v>
      </c>
      <c r="L93" s="298">
        <v>-5</v>
      </c>
      <c r="M93" s="298">
        <v>-8</v>
      </c>
      <c r="N93" s="298">
        <v>-5.8</v>
      </c>
      <c r="O93" s="299">
        <f>+N93</f>
        <v>-5.8</v>
      </c>
      <c r="P93" s="298">
        <v>-5.1</v>
      </c>
      <c r="Q93" s="298">
        <v>-0.7</v>
      </c>
    </row>
    <row r="94" spans="1:17" ht="47.25" customHeight="1" thickBot="1">
      <c r="A94" s="7"/>
      <c r="B94" s="42" t="s">
        <v>67</v>
      </c>
      <c r="C94" s="428"/>
      <c r="D94" s="295">
        <f aca="true" t="shared" si="22" ref="D94:N94">SUM(D92:D93)</f>
        <v>-30.1</v>
      </c>
      <c r="E94" s="295">
        <f t="shared" si="22"/>
        <v>0</v>
      </c>
      <c r="F94" s="295">
        <f t="shared" si="22"/>
        <v>5.2</v>
      </c>
      <c r="G94" s="295">
        <f t="shared" si="22"/>
        <v>1.4</v>
      </c>
      <c r="H94" s="295">
        <f t="shared" si="22"/>
        <v>-1.7</v>
      </c>
      <c r="I94" s="295">
        <f t="shared" si="22"/>
        <v>2.3</v>
      </c>
      <c r="J94" s="295">
        <f t="shared" si="22"/>
        <v>2.3</v>
      </c>
      <c r="K94" s="295">
        <f t="shared" si="22"/>
        <v>0.9</v>
      </c>
      <c r="L94" s="295">
        <f t="shared" si="22"/>
        <v>0.2</v>
      </c>
      <c r="M94" s="295">
        <f t="shared" si="22"/>
        <v>-3.9</v>
      </c>
      <c r="N94" s="295">
        <f t="shared" si="22"/>
        <v>-4.4</v>
      </c>
      <c r="O94" s="295">
        <f>SUM(O92:O93)</f>
        <v>-4.4</v>
      </c>
      <c r="P94" s="295">
        <f>SUM(P92:P93)</f>
        <v>-8.3</v>
      </c>
      <c r="Q94" s="295">
        <f>SUM(Q92:Q93)</f>
        <v>-5</v>
      </c>
    </row>
    <row r="95" spans="1:17" ht="9.75" customHeight="1">
      <c r="A95" s="7"/>
      <c r="B95" s="1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7.25" customHeight="1">
      <c r="A96" s="7"/>
      <c r="B96" s="13" t="s">
        <v>191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7.25" customHeight="1" thickBot="1">
      <c r="A97" s="7"/>
      <c r="B97" s="33" t="s">
        <v>192</v>
      </c>
      <c r="C97" s="344">
        <v>3.3</v>
      </c>
      <c r="D97" s="344">
        <v>4</v>
      </c>
      <c r="E97" s="344">
        <v>3.8</v>
      </c>
      <c r="F97" s="301">
        <v>3.9</v>
      </c>
      <c r="G97" s="301">
        <v>3.9</v>
      </c>
      <c r="H97" s="301">
        <v>3.6</v>
      </c>
      <c r="I97" s="301">
        <v>3.4</v>
      </c>
      <c r="J97" s="300">
        <f>+I97</f>
        <v>3.4</v>
      </c>
      <c r="K97" s="301">
        <v>3.3</v>
      </c>
      <c r="L97" s="301">
        <v>3.1</v>
      </c>
      <c r="M97" s="301">
        <v>3.2</v>
      </c>
      <c r="N97" s="301">
        <v>3.4</v>
      </c>
      <c r="O97" s="300">
        <f>+N97</f>
        <v>3.4</v>
      </c>
      <c r="P97" s="301">
        <v>3.4</v>
      </c>
      <c r="Q97" s="301">
        <v>3.7</v>
      </c>
    </row>
    <row r="98" spans="1:17" ht="9.75" customHeight="1" thickTop="1">
      <c r="A98" s="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2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</row>
    <row r="100" spans="1:17" ht="17.25" customHeight="1">
      <c r="A100" s="7"/>
      <c r="B100" s="1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7.25" customHeight="1">
      <c r="A101" s="7"/>
      <c r="B101" s="353" t="s">
        <v>204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</sheetData>
  <sheetProtection/>
  <mergeCells count="1">
    <mergeCell ref="B1:B2"/>
  </mergeCells>
  <conditionalFormatting sqref="C69:O69 D45:O45 D36:O36 C66:O66 C76:O76">
    <cfRule type="cellIs" priority="3" dxfId="0" operator="equal" stopIfTrue="1">
      <formula>"Error"</formula>
    </cfRule>
  </conditionalFormatting>
  <conditionalFormatting sqref="P45 P69 P36 P66:Q66 P76:Q76">
    <cfRule type="cellIs" priority="2" dxfId="0" operator="equal" stopIfTrue="1">
      <formula>"Error"</formula>
    </cfRule>
  </conditionalFormatting>
  <conditionalFormatting sqref="Q45 Q69 Q3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fitToWidth="1" horizontalDpi="600" verticalDpi="600" orientation="landscape" pageOrder="overThenDown" paperSize="9" scale="59" r:id="rId1"/>
  <headerFooter alignWithMargins="0">
    <oddFooter>&amp;C&amp;A</oddFooter>
  </headerFooter>
  <rowBreaks count="1" manualBreakCount="1">
    <brk id="5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7" width="11.57421875" style="1" customWidth="1"/>
    <col min="18" max="16384" width="1.7109375" style="1" customWidth="1"/>
  </cols>
  <sheetData>
    <row r="1" spans="1:17" ht="21.75" customHeight="1">
      <c r="A1" s="2"/>
      <c r="B1" s="436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7.2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8" customFormat="1" ht="17.25" customHeight="1" thickBot="1">
      <c r="A7" s="7"/>
      <c r="B7" s="28" t="s">
        <v>13</v>
      </c>
      <c r="C7" s="43">
        <f>+'Core Results'!C11-'Investment Banking'!C19-'Private Banking'!C7-'Asset Management'!C7</f>
        <v>1381</v>
      </c>
      <c r="D7" s="43">
        <f>+'Core Results'!D11-'Investment Banking'!D19-'Private Banking'!D7-'Asset Management'!D7</f>
        <v>5335</v>
      </c>
      <c r="E7" s="43">
        <f>+'Core Results'!E11-'Investment Banking'!E19-'Private Banking'!E7-'Asset Management'!E7</f>
        <v>-1141</v>
      </c>
      <c r="F7" s="43">
        <f>+'Core Results'!F11-'Investment Banking'!F19-'Private Banking'!F7-'Asset Management'!F7</f>
        <v>124</v>
      </c>
      <c r="G7" s="43">
        <f>+'Core Results'!G11-'Investment Banking'!G19-'Private Banking'!G7-'Asset Management'!G7</f>
        <v>894</v>
      </c>
      <c r="H7" s="43">
        <f>+'Core Results'!H11-'Investment Banking'!H19-'Private Banking'!H7-'Asset Management'!H7</f>
        <v>-765</v>
      </c>
      <c r="I7" s="43">
        <f>+'Core Results'!I11-'Investment Banking'!I19-'Private Banking'!I7-'Asset Management'!I7</f>
        <v>-81</v>
      </c>
      <c r="J7" s="43">
        <f>+'Core Results'!J11-'Investment Banking'!J19-'Private Banking'!J7-'Asset Management'!J7</f>
        <v>172</v>
      </c>
      <c r="K7" s="43">
        <f>+'Core Results'!K11-'Investment Banking'!K19-'Private Banking'!K7-'Asset Management'!K7</f>
        <v>-732</v>
      </c>
      <c r="L7" s="43">
        <f>+'Core Results'!L11-'Investment Banking'!L19-'Private Banking'!L7-'Asset Management'!L7</f>
        <v>101</v>
      </c>
      <c r="M7" s="43">
        <f>+'Core Results'!M11-'Investment Banking'!M19-'Private Banking'!M7-'Asset Management'!M7</f>
        <v>1743</v>
      </c>
      <c r="N7" s="43">
        <f>+'Core Results'!N11-'Investment Banking'!N19-'Private Banking'!N7-'Asset Management'!N7</f>
        <v>338</v>
      </c>
      <c r="O7" s="43">
        <f>+'Core Results'!O11-'Investment Banking'!O19-'Private Banking'!O7-'Asset Management'!O7</f>
        <v>1450</v>
      </c>
      <c r="P7" s="43">
        <f>+'Core Results'!P11-'Investment Banking'!P19-'Private Banking'!P7-'Asset Management'!P7</f>
        <v>-1566</v>
      </c>
      <c r="Q7" s="43">
        <f>+'Core Results'!Q11-'Investment Banking'!Q19-'Private Banking'!Q7-'Asset Management'!Q7</f>
        <v>78</v>
      </c>
    </row>
    <row r="8" spans="1:17" s="18" customFormat="1" ht="17.25" customHeight="1" thickBot="1">
      <c r="A8" s="7"/>
      <c r="B8" s="28" t="s">
        <v>14</v>
      </c>
      <c r="C8" s="43">
        <f>+'Core Results'!C12-'Investment Banking'!C20-'Private Banking'!C8-'Asset Management'!C8</f>
        <v>-2</v>
      </c>
      <c r="D8" s="43">
        <f>'Core Results'!D12-'Private Banking'!D8-'Investment Banking'!D20-'Asset Management'!D8</f>
        <v>1</v>
      </c>
      <c r="E8" s="43">
        <f>+'Core Results'!E12-'Investment Banking'!E20-'Private Banking'!E8-'Asset Management'!E8</f>
        <v>0</v>
      </c>
      <c r="F8" s="43">
        <f>+'Core Results'!F12-'Investment Banking'!F20-'Private Banking'!F8-'Asset Management'!F8</f>
        <v>0</v>
      </c>
      <c r="G8" s="43">
        <f>+'Core Results'!G12-'Investment Banking'!G20-'Private Banking'!G8-'Asset Management'!G8</f>
        <v>0</v>
      </c>
      <c r="H8" s="43">
        <f>+'Core Results'!H12-'Investment Banking'!H20-'Private Banking'!H8-'Asset Management'!H8</f>
        <v>0</v>
      </c>
      <c r="I8" s="43">
        <f>+'Core Results'!I12-'Investment Banking'!I20-'Private Banking'!I8-'Asset Management'!I8</f>
        <v>0</v>
      </c>
      <c r="J8" s="43">
        <f>+'Core Results'!J12-'Investment Banking'!J20-'Private Banking'!J8-'Asset Management'!J8</f>
        <v>0</v>
      </c>
      <c r="K8" s="43">
        <f>+'Core Results'!K12-'Investment Banking'!K20-'Private Banking'!K8-'Asset Management'!K8</f>
        <v>0</v>
      </c>
      <c r="L8" s="43">
        <f>+'Core Results'!L12-'Investment Banking'!L20-'Private Banking'!L8-'Asset Management'!L8</f>
        <v>0</v>
      </c>
      <c r="M8" s="43">
        <f>+'Core Results'!M12-'Investment Banking'!M20-'Private Banking'!M8-'Asset Management'!M8</f>
        <v>0</v>
      </c>
      <c r="N8" s="43">
        <f>+'Core Results'!N12-'Investment Banking'!N20-'Private Banking'!N8-'Asset Management'!N8</f>
        <v>0</v>
      </c>
      <c r="O8" s="43">
        <f>+'Core Results'!O12-'Investment Banking'!O20-'Private Banking'!O8-'Asset Management'!O8</f>
        <v>0</v>
      </c>
      <c r="P8" s="43">
        <f>+'Core Results'!P12-'Investment Banking'!P20-'Private Banking'!P8-'Asset Management'!P8</f>
        <v>0</v>
      </c>
      <c r="Q8" s="43">
        <f>+'Core Results'!Q12-'Investment Banking'!Q20-'Private Banking'!Q8-'Asset Management'!Q8</f>
        <v>0</v>
      </c>
    </row>
    <row r="9" spans="1:17" ht="17.25" customHeight="1">
      <c r="A9" s="7"/>
      <c r="B9" s="30" t="s">
        <v>15</v>
      </c>
      <c r="C9" s="55">
        <f>+'Core Results'!C13-'Investment Banking'!C21-'Private Banking'!C9-'Asset Management'!C9</f>
        <v>178</v>
      </c>
      <c r="D9" s="55">
        <f>'Core Results'!D13-'Private Banking'!D9-'Investment Banking'!D21-'Asset Management'!D9</f>
        <v>858</v>
      </c>
      <c r="E9" s="55">
        <f>+'Core Results'!E13-'Investment Banking'!E21-'Private Banking'!E9-'Asset Management'!E9</f>
        <v>534</v>
      </c>
      <c r="F9" s="55">
        <f>+'Core Results'!F13-'Investment Banking'!F21-'Private Banking'!F9-'Asset Management'!F9</f>
        <v>102</v>
      </c>
      <c r="G9" s="55">
        <f>+'Core Results'!G13-'Investment Banking'!G21-'Private Banking'!G9-'Asset Management'!G9</f>
        <v>465</v>
      </c>
      <c r="H9" s="55">
        <f>+'Core Results'!H13-'Investment Banking'!H21-'Private Banking'!H9-'Asset Management'!H9</f>
        <v>55</v>
      </c>
      <c r="I9" s="55">
        <f>+'Core Results'!I13-'Investment Banking'!I21-'Private Banking'!I9-'Asset Management'!I9</f>
        <v>88</v>
      </c>
      <c r="J9" s="55">
        <f>+'Core Results'!J13-'Investment Banking'!J21-'Private Banking'!J9-'Asset Management'!J9</f>
        <v>710</v>
      </c>
      <c r="K9" s="55">
        <f>+'Core Results'!K13-'Investment Banking'!K21-'Private Banking'!K9-'Asset Management'!K9</f>
        <v>133</v>
      </c>
      <c r="L9" s="55">
        <f>+'Core Results'!L13-'Investment Banking'!L21-'Private Banking'!L9-'Asset Management'!L9</f>
        <v>263</v>
      </c>
      <c r="M9" s="55">
        <f>+'Core Results'!M13-'Investment Banking'!M21-'Private Banking'!M9-'Asset Management'!M9</f>
        <v>227</v>
      </c>
      <c r="N9" s="55">
        <f>+'Core Results'!N13-'Investment Banking'!N21-'Private Banking'!N9-'Asset Management'!N9</f>
        <v>328</v>
      </c>
      <c r="O9" s="55">
        <f>+'Core Results'!O13-'Investment Banking'!O21-'Private Banking'!O9-'Asset Management'!O9</f>
        <v>951</v>
      </c>
      <c r="P9" s="55">
        <f>+'Core Results'!P13-'Investment Banking'!P21-'Private Banking'!P9-'Asset Management'!P9</f>
        <v>167</v>
      </c>
      <c r="Q9" s="55">
        <f>+'Core Results'!Q13-'Investment Banking'!Q21-'Private Banking'!Q9-'Asset Management'!Q9</f>
        <v>180</v>
      </c>
    </row>
    <row r="10" spans="1:17" ht="17.25" customHeight="1">
      <c r="A10" s="7"/>
      <c r="B10" s="97" t="s">
        <v>16</v>
      </c>
      <c r="C10" s="98">
        <f>+'Core Results'!C14-'Investment Banking'!C22-'Private Banking'!C10-'Asset Management'!C10</f>
        <v>136</v>
      </c>
      <c r="D10" s="98">
        <f>'Core Results'!D14-'Private Banking'!D10-'Investment Banking'!D22-'Asset Management'!D10</f>
        <v>422</v>
      </c>
      <c r="E10" s="98">
        <f>+'Core Results'!E14-'Investment Banking'!E22-'Private Banking'!E10-'Asset Management'!E10</f>
        <v>908</v>
      </c>
      <c r="F10" s="98">
        <f>+'Core Results'!F14-'Investment Banking'!F22-'Private Banking'!F10-'Asset Management'!F10</f>
        <v>28</v>
      </c>
      <c r="G10" s="98">
        <f>+'Core Results'!G14-'Investment Banking'!G22-'Private Banking'!G10-'Asset Management'!G10</f>
        <v>234</v>
      </c>
      <c r="H10" s="98">
        <f>+'Core Results'!H14-'Investment Banking'!H22-'Private Banking'!H10-'Asset Management'!H10</f>
        <v>4</v>
      </c>
      <c r="I10" s="98">
        <f>+'Core Results'!I14-'Investment Banking'!I22-'Private Banking'!I10-'Asset Management'!I10</f>
        <v>57</v>
      </c>
      <c r="J10" s="98">
        <f>+'Core Results'!J14-'Investment Banking'!J22-'Private Banking'!J10-'Asset Management'!J10</f>
        <v>323</v>
      </c>
      <c r="K10" s="98">
        <f>+'Core Results'!K14-'Investment Banking'!K22-'Private Banking'!K10-'Asset Management'!K10</f>
        <v>1</v>
      </c>
      <c r="L10" s="98">
        <f>+'Core Results'!L14-'Investment Banking'!L22-'Private Banking'!L10-'Asset Management'!L10</f>
        <v>5</v>
      </c>
      <c r="M10" s="98">
        <f>+'Core Results'!M14-'Investment Banking'!M22-'Private Banking'!M10-'Asset Management'!M10</f>
        <v>44</v>
      </c>
      <c r="N10" s="98">
        <f>+'Core Results'!N14-'Investment Banking'!N22-'Private Banking'!N10-'Asset Management'!N10</f>
        <v>94</v>
      </c>
      <c r="O10" s="98">
        <f>+'Core Results'!O14-'Investment Banking'!O22-'Private Banking'!O10-'Asset Management'!O10</f>
        <v>144</v>
      </c>
      <c r="P10" s="98">
        <f>+'Core Results'!P14-'Investment Banking'!P22-'Private Banking'!P10-'Asset Management'!P10</f>
        <v>67</v>
      </c>
      <c r="Q10" s="98">
        <f>+'Core Results'!Q14-'Investment Banking'!Q22-'Private Banking'!Q10-'Asset Management'!Q10</f>
        <v>69</v>
      </c>
    </row>
    <row r="11" spans="1:17" s="18" customFormat="1" ht="17.25" customHeight="1">
      <c r="A11" s="7"/>
      <c r="B11" s="29" t="s">
        <v>17</v>
      </c>
      <c r="C11" s="56">
        <f>+'Core Results'!C15-'Investment Banking'!C23-'Private Banking'!C11-'Asset Management'!C11</f>
        <v>-77</v>
      </c>
      <c r="D11" s="56">
        <f>'Core Results'!D15-'Private Banking'!D11-'Investment Banking'!D23-'Asset Management'!D11</f>
        <v>49</v>
      </c>
      <c r="E11" s="56">
        <f>+'Core Results'!E15-'Investment Banking'!E23-'Private Banking'!E11-'Asset Management'!E11</f>
        <v>82</v>
      </c>
      <c r="F11" s="56">
        <f>+'Core Results'!F15-'Investment Banking'!F23-'Private Banking'!F11-'Asset Management'!F11</f>
        <v>2</v>
      </c>
      <c r="G11" s="56">
        <f>+'Core Results'!G15-'Investment Banking'!G23-'Private Banking'!G11-'Asset Management'!G11</f>
        <v>3</v>
      </c>
      <c r="H11" s="56">
        <f>+'Core Results'!H15-'Investment Banking'!H23-'Private Banking'!H11-'Asset Management'!H11</f>
        <v>9</v>
      </c>
      <c r="I11" s="56">
        <f>+'Core Results'!I15-'Investment Banking'!I23-'Private Banking'!I11-'Asset Management'!I11</f>
        <v>61</v>
      </c>
      <c r="J11" s="56">
        <f>+'Core Results'!J15-'Investment Banking'!J23-'Private Banking'!J11-'Asset Management'!J11</f>
        <v>75</v>
      </c>
      <c r="K11" s="56">
        <f>+'Core Results'!K15-'Investment Banking'!K23-'Private Banking'!K11-'Asset Management'!K11</f>
        <v>8</v>
      </c>
      <c r="L11" s="56">
        <f>+'Core Results'!L15-'Investment Banking'!L23-'Private Banking'!L11-'Asset Management'!L11</f>
        <v>0</v>
      </c>
      <c r="M11" s="56">
        <f>+'Core Results'!M15-'Investment Banking'!M23-'Private Banking'!M11-'Asset Management'!M11</f>
        <v>20</v>
      </c>
      <c r="N11" s="56">
        <f>+'Core Results'!N15-'Investment Banking'!N23-'Private Banking'!N11-'Asset Management'!N11</f>
        <v>18</v>
      </c>
      <c r="O11" s="56">
        <f>+'Core Results'!O15-'Investment Banking'!O23-'Private Banking'!O11-'Asset Management'!O11</f>
        <v>46</v>
      </c>
      <c r="P11" s="56">
        <f>+'Core Results'!P15-'Investment Banking'!P23-'Private Banking'!P11-'Asset Management'!P11</f>
        <v>18</v>
      </c>
      <c r="Q11" s="56">
        <f>+'Core Results'!Q15-'Investment Banking'!Q23-'Private Banking'!Q11-'Asset Management'!Q11</f>
        <v>9</v>
      </c>
    </row>
    <row r="12" spans="1:17" s="18" customFormat="1" ht="17.25" customHeight="1">
      <c r="A12" s="7"/>
      <c r="B12" s="30" t="s">
        <v>18</v>
      </c>
      <c r="C12" s="53">
        <f>+'Core Results'!C16-'Investment Banking'!C24-'Private Banking'!C12-'Asset Management'!C12</f>
        <v>59</v>
      </c>
      <c r="D12" s="53">
        <f>'Core Results'!D16-'Private Banking'!D12-'Investment Banking'!D24-'Asset Management'!D12</f>
        <v>471</v>
      </c>
      <c r="E12" s="53">
        <f>+'Core Results'!E16-'Investment Banking'!E24-'Private Banking'!E12-'Asset Management'!E12</f>
        <v>990</v>
      </c>
      <c r="F12" s="53">
        <f>+'Core Results'!F16-'Investment Banking'!F24-'Private Banking'!F12-'Asset Management'!F12</f>
        <v>30</v>
      </c>
      <c r="G12" s="53">
        <f>+'Core Results'!G16-'Investment Banking'!G24-'Private Banking'!G12-'Asset Management'!G12</f>
        <v>237</v>
      </c>
      <c r="H12" s="53">
        <f>+'Core Results'!H16-'Investment Banking'!H24-'Private Banking'!H12-'Asset Management'!H12</f>
        <v>13</v>
      </c>
      <c r="I12" s="53">
        <f>+'Core Results'!I16-'Investment Banking'!I24-'Private Banking'!I12-'Asset Management'!I12</f>
        <v>118</v>
      </c>
      <c r="J12" s="53">
        <f>+'Core Results'!J16-'Investment Banking'!J24-'Private Banking'!J12-'Asset Management'!J12</f>
        <v>398</v>
      </c>
      <c r="K12" s="53">
        <f>+'Core Results'!K16-'Investment Banking'!K24-'Private Banking'!K12-'Asset Management'!K12</f>
        <v>9</v>
      </c>
      <c r="L12" s="53">
        <f>+'Core Results'!L16-'Investment Banking'!L24-'Private Banking'!L12-'Asset Management'!L12</f>
        <v>5</v>
      </c>
      <c r="M12" s="53">
        <f>+'Core Results'!M16-'Investment Banking'!M24-'Private Banking'!M12-'Asset Management'!M12</f>
        <v>64</v>
      </c>
      <c r="N12" s="53">
        <f>+'Core Results'!N16-'Investment Banking'!N24-'Private Banking'!N12-'Asset Management'!N12</f>
        <v>112</v>
      </c>
      <c r="O12" s="53">
        <f>+'Core Results'!O16-'Investment Banking'!O24-'Private Banking'!O12-'Asset Management'!O12</f>
        <v>190</v>
      </c>
      <c r="P12" s="53">
        <f>+'Core Results'!P16-'Investment Banking'!P24-'Private Banking'!P12-'Asset Management'!P12</f>
        <v>85</v>
      </c>
      <c r="Q12" s="53">
        <f>+'Core Results'!Q16-'Investment Banking'!Q24-'Private Banking'!Q12-'Asset Management'!Q12</f>
        <v>78</v>
      </c>
    </row>
    <row r="13" spans="1:17" s="18" customFormat="1" ht="17.25" customHeight="1" thickBot="1">
      <c r="A13" s="7"/>
      <c r="B13" s="28" t="s">
        <v>19</v>
      </c>
      <c r="C13" s="43">
        <f>+'Core Results'!C17-'Investment Banking'!C25-'Private Banking'!C13-'Asset Management'!C13</f>
        <v>237</v>
      </c>
      <c r="D13" s="43">
        <f>'Core Results'!D17-'Private Banking'!D13-'Investment Banking'!D25-'Asset Management'!D13</f>
        <v>1329</v>
      </c>
      <c r="E13" s="43">
        <f>+'Core Results'!E17-'Investment Banking'!E25-'Private Banking'!E13-'Asset Management'!E13</f>
        <v>1524</v>
      </c>
      <c r="F13" s="43">
        <f>+'Core Results'!F17-'Investment Banking'!F25-'Private Banking'!F13-'Asset Management'!F13</f>
        <v>132</v>
      </c>
      <c r="G13" s="43">
        <f>+'Core Results'!G17-'Investment Banking'!G25-'Private Banking'!G13-'Asset Management'!G13</f>
        <v>702</v>
      </c>
      <c r="H13" s="43">
        <f>+'Core Results'!H17-'Investment Banking'!H25-'Private Banking'!H13-'Asset Management'!H13</f>
        <v>68</v>
      </c>
      <c r="I13" s="43">
        <f>+'Core Results'!I17-'Investment Banking'!I25-'Private Banking'!I13-'Asset Management'!I13</f>
        <v>206</v>
      </c>
      <c r="J13" s="43">
        <f>+'Core Results'!J17-'Investment Banking'!J25-'Private Banking'!J13-'Asset Management'!J13</f>
        <v>1108</v>
      </c>
      <c r="K13" s="43">
        <f>+'Core Results'!K17-'Investment Banking'!K25-'Private Banking'!K13-'Asset Management'!K13</f>
        <v>142</v>
      </c>
      <c r="L13" s="43">
        <f>+'Core Results'!L17-'Investment Banking'!L25-'Private Banking'!L13-'Asset Management'!L13</f>
        <v>268</v>
      </c>
      <c r="M13" s="43">
        <f>+'Core Results'!M17-'Investment Banking'!M25-'Private Banking'!M13-'Asset Management'!M13</f>
        <v>291</v>
      </c>
      <c r="N13" s="43">
        <f>+'Core Results'!N17-'Investment Banking'!N25-'Private Banking'!N13-'Asset Management'!N13</f>
        <v>440</v>
      </c>
      <c r="O13" s="43">
        <f>+'Core Results'!O17-'Investment Banking'!O25-'Private Banking'!O13-'Asset Management'!O13</f>
        <v>1141</v>
      </c>
      <c r="P13" s="43">
        <f>+'Core Results'!P17-'Investment Banking'!P25-'Private Banking'!P13-'Asset Management'!P13</f>
        <v>252</v>
      </c>
      <c r="Q13" s="43">
        <f>+'Core Results'!Q17-'Investment Banking'!Q25-'Private Banking'!Q13-'Asset Management'!Q13</f>
        <v>258</v>
      </c>
    </row>
    <row r="14" spans="1:17" s="18" customFormat="1" ht="26.25" thickBot="1">
      <c r="A14" s="7"/>
      <c r="B14" s="42" t="s">
        <v>89</v>
      </c>
      <c r="C14" s="43">
        <f>+'Core Results'!C18-'Investment Banking'!C26-'Private Banking'!C14-'Asset Management'!C14</f>
        <v>1146</v>
      </c>
      <c r="D14" s="43">
        <f>'Core Results'!D18-'Private Banking'!D14-'Investment Banking'!D26-'Asset Management'!D14</f>
        <v>4005</v>
      </c>
      <c r="E14" s="43">
        <f>+'Core Results'!E18-'Investment Banking'!E26-'Private Banking'!E14-'Asset Management'!E14</f>
        <v>-2665</v>
      </c>
      <c r="F14" s="43">
        <f>+'Core Results'!F18-'Investment Banking'!F26-'Private Banking'!F14-'Asset Management'!F14</f>
        <v>-8</v>
      </c>
      <c r="G14" s="43">
        <f>+'Core Results'!G18-'Investment Banking'!G26-'Private Banking'!G14-'Asset Management'!G14</f>
        <v>192</v>
      </c>
      <c r="H14" s="43">
        <f>+'Core Results'!H18-'Investment Banking'!H26-'Private Banking'!H14-'Asset Management'!H14</f>
        <v>-833</v>
      </c>
      <c r="I14" s="43">
        <f>+'Core Results'!I18-'Investment Banking'!I26-'Private Banking'!I14-'Asset Management'!I14</f>
        <v>-287</v>
      </c>
      <c r="J14" s="43">
        <f>+'Core Results'!J18-'Investment Banking'!J26-'Private Banking'!J14-'Asset Management'!J14</f>
        <v>-936</v>
      </c>
      <c r="K14" s="43">
        <f>+'Core Results'!K18-'Investment Banking'!K26-'Private Banking'!K14-'Asset Management'!K14</f>
        <v>-874</v>
      </c>
      <c r="L14" s="43">
        <f>+'Core Results'!L18-'Investment Banking'!L26-'Private Banking'!L14-'Asset Management'!L14</f>
        <v>-167</v>
      </c>
      <c r="M14" s="43">
        <f>+'Core Results'!M18-'Investment Banking'!M26-'Private Banking'!M14-'Asset Management'!M14</f>
        <v>1452</v>
      </c>
      <c r="N14" s="43">
        <f>+'Core Results'!N18-'Investment Banking'!N26-'Private Banking'!N14-'Asset Management'!N14</f>
        <v>-102</v>
      </c>
      <c r="O14" s="43">
        <f>+'Core Results'!O18-'Investment Banking'!O26-'Private Banking'!O14-'Asset Management'!O14</f>
        <v>309</v>
      </c>
      <c r="P14" s="43">
        <f>+'Core Results'!P18-'Investment Banking'!P26-'Private Banking'!P14-'Asset Management'!P14</f>
        <v>-1818</v>
      </c>
      <c r="Q14" s="43">
        <f>+'Core Results'!Q18-'Investment Banking'!Q26-'Private Banking'!Q14-'Asset Management'!Q14</f>
        <v>-180</v>
      </c>
    </row>
    <row r="15" spans="1:17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7.25" customHeight="1">
      <c r="A16" s="7"/>
      <c r="B16" s="13" t="s">
        <v>61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7.25" customHeight="1" thickBot="1">
      <c r="A17" s="7"/>
      <c r="B17" s="33" t="s">
        <v>62</v>
      </c>
      <c r="C17" s="68">
        <f>+'Core Results'!C43</f>
        <v>700</v>
      </c>
      <c r="D17" s="68">
        <f>+'Core Results'!D43</f>
        <v>700</v>
      </c>
      <c r="E17" s="68">
        <f>+'Core Results'!E43</f>
        <v>800</v>
      </c>
      <c r="F17" s="68">
        <f>+'Core Results'!F43</f>
        <v>800</v>
      </c>
      <c r="G17" s="68">
        <f>+'Core Results'!G43</f>
        <v>900</v>
      </c>
      <c r="H17" s="68">
        <f>+'Core Results'!H43</f>
        <v>900</v>
      </c>
      <c r="I17" s="68">
        <f>+'Core Results'!I43</f>
        <v>900</v>
      </c>
      <c r="J17" s="68">
        <f>+'Core Results'!J43</f>
        <v>900</v>
      </c>
      <c r="K17" s="68">
        <f>+'Core Results'!K43</f>
        <v>900</v>
      </c>
      <c r="L17" s="68">
        <f>+'Core Results'!L43</f>
        <v>900</v>
      </c>
      <c r="M17" s="68">
        <f>+'Core Results'!M43</f>
        <v>900</v>
      </c>
      <c r="N17" s="68">
        <f>+'Core Results'!N43</f>
        <v>900</v>
      </c>
      <c r="O17" s="68">
        <f>+'Core Results'!O43</f>
        <v>900</v>
      </c>
      <c r="P17" s="68">
        <f>+'Core Results'!P43</f>
        <v>900</v>
      </c>
      <c r="Q17" s="68">
        <f>+'Core Results'!Q43</f>
        <v>900</v>
      </c>
    </row>
    <row r="18" spans="1:17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7.25" customHeight="1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ht="17.25" customHeight="1">
      <c r="A20" s="7"/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7.25" customHeight="1">
      <c r="A21" s="7"/>
      <c r="B21" s="353" t="s">
        <v>204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7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SheetLayoutView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7" width="11.57421875" style="1" customWidth="1"/>
    <col min="18" max="16384" width="1.7109375" style="1" customWidth="1"/>
  </cols>
  <sheetData>
    <row r="1" spans="1:17" ht="21.75" customHeight="1">
      <c r="A1" s="2"/>
      <c r="B1" s="438" t="s">
        <v>140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28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7.25" customHeight="1">
      <c r="A6" s="7"/>
      <c r="B6" s="13" t="s">
        <v>29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7.25" customHeight="1">
      <c r="A7" s="7"/>
      <c r="B7" s="14" t="s">
        <v>25</v>
      </c>
      <c r="C7" s="345">
        <v>1052.5</v>
      </c>
      <c r="D7" s="345">
        <v>812.8</v>
      </c>
      <c r="E7" s="345">
        <v>942.3</v>
      </c>
      <c r="F7" s="123">
        <v>974.3</v>
      </c>
      <c r="G7" s="123">
        <v>953</v>
      </c>
      <c r="H7" s="123">
        <v>961.6</v>
      </c>
      <c r="I7" s="123">
        <v>959</v>
      </c>
      <c r="J7" s="387">
        <f>I7</f>
        <v>959</v>
      </c>
      <c r="K7" s="123">
        <v>980.6</v>
      </c>
      <c r="L7" s="123">
        <v>943</v>
      </c>
      <c r="M7" s="123">
        <v>917</v>
      </c>
      <c r="N7" s="123">
        <v>953.2</v>
      </c>
      <c r="O7" s="387">
        <f>N7</f>
        <v>953.2</v>
      </c>
      <c r="P7" s="123">
        <v>983.5</v>
      </c>
      <c r="Q7" s="123">
        <v>987.9</v>
      </c>
    </row>
    <row r="8" spans="1:17" ht="17.25" customHeight="1">
      <c r="A8" s="7"/>
      <c r="B8" s="14" t="s">
        <v>26</v>
      </c>
      <c r="C8" s="345">
        <v>534.2</v>
      </c>
      <c r="D8" s="434">
        <v>373.5</v>
      </c>
      <c r="E8" s="434">
        <v>373.3</v>
      </c>
      <c r="F8" s="123">
        <v>389.8</v>
      </c>
      <c r="G8" s="123">
        <v>378.6</v>
      </c>
      <c r="H8" s="123">
        <v>380.2</v>
      </c>
      <c r="I8" s="123">
        <v>382</v>
      </c>
      <c r="J8" s="387">
        <f>+I8</f>
        <v>382</v>
      </c>
      <c r="K8" s="123">
        <v>393.4</v>
      </c>
      <c r="L8" s="123">
        <v>379.2</v>
      </c>
      <c r="M8" s="123">
        <v>365.2</v>
      </c>
      <c r="N8" s="123">
        <v>365.2</v>
      </c>
      <c r="O8" s="387">
        <f>+N8</f>
        <v>365.2</v>
      </c>
      <c r="P8" s="123">
        <v>360.8</v>
      </c>
      <c r="Q8" s="123">
        <v>360.5</v>
      </c>
    </row>
    <row r="9" spans="1:17" ht="32.25" customHeight="1">
      <c r="A9" s="7"/>
      <c r="B9" s="130" t="s">
        <v>144</v>
      </c>
      <c r="C9" s="345">
        <v>-162.2</v>
      </c>
      <c r="D9" s="433">
        <v>-119.7</v>
      </c>
      <c r="E9" s="433">
        <v>-130.8</v>
      </c>
      <c r="F9" s="123">
        <v>-140.2</v>
      </c>
      <c r="G9" s="123">
        <v>-136</v>
      </c>
      <c r="H9" s="123">
        <v>-137.9</v>
      </c>
      <c r="I9" s="123">
        <v>-135.7</v>
      </c>
      <c r="J9" s="387">
        <f>+I9</f>
        <v>-135.7</v>
      </c>
      <c r="K9" s="123">
        <v>-141.1</v>
      </c>
      <c r="L9" s="123">
        <v>-135.9</v>
      </c>
      <c r="M9" s="123">
        <v>-130.8</v>
      </c>
      <c r="N9" s="123">
        <v>-133.2</v>
      </c>
      <c r="O9" s="387">
        <f>+N9</f>
        <v>-133.2</v>
      </c>
      <c r="P9" s="123">
        <v>-139.5</v>
      </c>
      <c r="Q9" s="123">
        <v>-135.3</v>
      </c>
    </row>
    <row r="10" spans="1:17" ht="34.5" customHeight="1" thickBot="1">
      <c r="A10" s="7"/>
      <c r="B10" s="126" t="s">
        <v>143</v>
      </c>
      <c r="C10" s="94">
        <f aca="true" t="shared" si="0" ref="C10:H10">IF((SUM(C7:C9))=C11+C12,(SUM(C7:C9)),"Error")</f>
        <v>1424.5</v>
      </c>
      <c r="D10" s="94">
        <f t="shared" si="0"/>
        <v>1066.6</v>
      </c>
      <c r="E10" s="94">
        <f t="shared" si="0"/>
        <v>1184.8</v>
      </c>
      <c r="F10" s="94">
        <f t="shared" si="0"/>
        <v>1223.9</v>
      </c>
      <c r="G10" s="94">
        <f t="shared" si="0"/>
        <v>1195.6</v>
      </c>
      <c r="H10" s="94">
        <f t="shared" si="0"/>
        <v>1203.9</v>
      </c>
      <c r="I10" s="94">
        <f aca="true" t="shared" si="1" ref="I10:O10">IF((SUM(I7:I9))=I11+I12,(SUM(I7:I9)),"Error")</f>
        <v>1205.3</v>
      </c>
      <c r="J10" s="94">
        <f t="shared" si="1"/>
        <v>1205.3</v>
      </c>
      <c r="K10" s="94">
        <f t="shared" si="1"/>
        <v>1232.9</v>
      </c>
      <c r="L10" s="94">
        <f t="shared" si="1"/>
        <v>1186.3</v>
      </c>
      <c r="M10" s="94">
        <f t="shared" si="1"/>
        <v>1151.4</v>
      </c>
      <c r="N10" s="94">
        <f t="shared" si="1"/>
        <v>1185.2</v>
      </c>
      <c r="O10" s="94">
        <f t="shared" si="1"/>
        <v>1185.2</v>
      </c>
      <c r="P10" s="94">
        <f>IF((SUM(P7:P9))=P11+P12,(SUM(P7:P9)),"Error")</f>
        <v>1204.8</v>
      </c>
      <c r="Q10" s="94">
        <f>IF((SUM(Q7:Q9))=Q11+Q12,(SUM(Q7:Q9)),"Error")</f>
        <v>1213.1</v>
      </c>
    </row>
    <row r="11" spans="1:17" ht="17.25" customHeight="1">
      <c r="A11" s="7"/>
      <c r="B11" s="226" t="s">
        <v>119</v>
      </c>
      <c r="C11" s="346">
        <v>612.7</v>
      </c>
      <c r="D11" s="346">
        <v>398.7</v>
      </c>
      <c r="E11" s="346">
        <v>400.8</v>
      </c>
      <c r="F11" s="228">
        <v>417.5</v>
      </c>
      <c r="G11" s="228">
        <v>406.2</v>
      </c>
      <c r="H11" s="228">
        <v>408.7</v>
      </c>
      <c r="I11" s="228">
        <v>408</v>
      </c>
      <c r="J11" s="224">
        <f>+I11</f>
        <v>408</v>
      </c>
      <c r="K11" s="228">
        <v>419.9</v>
      </c>
      <c r="L11" s="228">
        <v>405.4</v>
      </c>
      <c r="M11" s="228">
        <v>390.6</v>
      </c>
      <c r="N11" s="228">
        <v>390.2</v>
      </c>
      <c r="O11" s="224">
        <f>+N11</f>
        <v>390.2</v>
      </c>
      <c r="P11" s="228">
        <v>388.1</v>
      </c>
      <c r="Q11" s="228">
        <v>391.6</v>
      </c>
    </row>
    <row r="12" spans="1:17" ht="17.25" customHeight="1">
      <c r="A12" s="7"/>
      <c r="B12" s="227" t="s">
        <v>137</v>
      </c>
      <c r="C12" s="347">
        <v>811.8</v>
      </c>
      <c r="D12" s="347">
        <v>667.9</v>
      </c>
      <c r="E12" s="347">
        <v>784</v>
      </c>
      <c r="F12" s="229">
        <v>806.4</v>
      </c>
      <c r="G12" s="229">
        <v>789.4</v>
      </c>
      <c r="H12" s="229">
        <v>795.2</v>
      </c>
      <c r="I12" s="229">
        <v>797.3</v>
      </c>
      <c r="J12" s="225">
        <f>+I12</f>
        <v>797.3</v>
      </c>
      <c r="K12" s="229">
        <v>813</v>
      </c>
      <c r="L12" s="229">
        <v>780.9</v>
      </c>
      <c r="M12" s="229">
        <v>760.8</v>
      </c>
      <c r="N12" s="229">
        <v>795</v>
      </c>
      <c r="O12" s="225">
        <f>+N12</f>
        <v>795</v>
      </c>
      <c r="P12" s="229">
        <v>816.7</v>
      </c>
      <c r="Q12" s="229">
        <v>821.5</v>
      </c>
    </row>
    <row r="13" spans="1:17" ht="17.25" customHeight="1">
      <c r="A13" s="7"/>
      <c r="B13" s="129" t="s">
        <v>102</v>
      </c>
      <c r="C13" s="379">
        <v>0</v>
      </c>
      <c r="D13" s="379">
        <v>0</v>
      </c>
      <c r="E13" s="379">
        <v>0</v>
      </c>
      <c r="F13" s="77">
        <v>0</v>
      </c>
      <c r="G13" s="77">
        <v>0</v>
      </c>
      <c r="H13" s="77">
        <v>0</v>
      </c>
      <c r="I13" s="77">
        <v>0</v>
      </c>
      <c r="J13" s="77">
        <f>+I13</f>
        <v>0</v>
      </c>
      <c r="K13" s="77">
        <v>0</v>
      </c>
      <c r="L13" s="77">
        <v>0</v>
      </c>
      <c r="M13" s="77">
        <v>0</v>
      </c>
      <c r="N13" s="77">
        <v>0</v>
      </c>
      <c r="O13" s="77">
        <f>+N13</f>
        <v>0</v>
      </c>
      <c r="P13" s="77">
        <v>0</v>
      </c>
      <c r="Q13" s="77">
        <v>0</v>
      </c>
    </row>
    <row r="14" spans="1:17" ht="17.25" customHeight="1" thickBot="1">
      <c r="A14" s="7"/>
      <c r="B14" s="21" t="s">
        <v>7</v>
      </c>
      <c r="C14" s="94">
        <f aca="true" t="shared" si="2" ref="C14:H14">+C10+C13</f>
        <v>1424.5</v>
      </c>
      <c r="D14" s="94">
        <f t="shared" si="2"/>
        <v>1066.6</v>
      </c>
      <c r="E14" s="94">
        <f t="shared" si="2"/>
        <v>1184.8</v>
      </c>
      <c r="F14" s="94">
        <f t="shared" si="2"/>
        <v>1223.9</v>
      </c>
      <c r="G14" s="94">
        <f t="shared" si="2"/>
        <v>1195.6</v>
      </c>
      <c r="H14" s="94">
        <f t="shared" si="2"/>
        <v>1203.9</v>
      </c>
      <c r="I14" s="94">
        <f aca="true" t="shared" si="3" ref="I14:O14">+I10+I13</f>
        <v>1205.3</v>
      </c>
      <c r="J14" s="94">
        <f t="shared" si="3"/>
        <v>1205.3</v>
      </c>
      <c r="K14" s="94">
        <f t="shared" si="3"/>
        <v>1232.9</v>
      </c>
      <c r="L14" s="94">
        <f t="shared" si="3"/>
        <v>1186.3</v>
      </c>
      <c r="M14" s="94">
        <f t="shared" si="3"/>
        <v>1151.4</v>
      </c>
      <c r="N14" s="94">
        <f>+N10+N13</f>
        <v>1185.2</v>
      </c>
      <c r="O14" s="94">
        <f t="shared" si="3"/>
        <v>1185.2</v>
      </c>
      <c r="P14" s="94">
        <f>+P10+P13</f>
        <v>1204.8</v>
      </c>
      <c r="Q14" s="94">
        <f>+Q10+Q13</f>
        <v>1213.1</v>
      </c>
    </row>
    <row r="15" spans="1:17" ht="17.25" customHeight="1">
      <c r="A15" s="7"/>
      <c r="B15" s="11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ht="17.25" customHeight="1">
      <c r="A16" s="7"/>
      <c r="B16" s="13" t="s">
        <v>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1:17" ht="17.25" customHeight="1">
      <c r="A17" s="7"/>
      <c r="B17" s="14" t="s">
        <v>25</v>
      </c>
      <c r="C17" s="345" t="s">
        <v>194</v>
      </c>
      <c r="D17" s="345">
        <v>21.2</v>
      </c>
      <c r="E17" s="345">
        <v>39.8</v>
      </c>
      <c r="F17" s="122">
        <v>17.6</v>
      </c>
      <c r="G17" s="122">
        <v>12.5</v>
      </c>
      <c r="H17" s="122">
        <v>11.6</v>
      </c>
      <c r="I17" s="122">
        <v>6.9</v>
      </c>
      <c r="J17" s="387">
        <f>SUM(F17:I17)</f>
        <v>48.6</v>
      </c>
      <c r="K17" s="122">
        <v>16</v>
      </c>
      <c r="L17" s="122">
        <v>11.9</v>
      </c>
      <c r="M17" s="122">
        <v>7.3</v>
      </c>
      <c r="N17" s="122">
        <v>7.5</v>
      </c>
      <c r="O17" s="387">
        <f>SUM(K17:N17)</f>
        <v>42.7</v>
      </c>
      <c r="P17" s="122">
        <v>7.9</v>
      </c>
      <c r="Q17" s="122">
        <v>3.4</v>
      </c>
    </row>
    <row r="18" spans="1:17" ht="17.25" customHeight="1">
      <c r="A18" s="7"/>
      <c r="B18" s="14" t="s">
        <v>26</v>
      </c>
      <c r="C18" s="345" t="s">
        <v>194</v>
      </c>
      <c r="D18" s="345">
        <v>-36.9</v>
      </c>
      <c r="E18" s="345">
        <v>-1.6</v>
      </c>
      <c r="F18" s="122">
        <v>10.2</v>
      </c>
      <c r="G18" s="122">
        <v>0.7</v>
      </c>
      <c r="H18" s="122">
        <v>5.6</v>
      </c>
      <c r="I18" s="122">
        <v>3.7</v>
      </c>
      <c r="J18" s="387">
        <f>SUM(F18:I18)</f>
        <v>20.2</v>
      </c>
      <c r="K18" s="122">
        <v>6.5</v>
      </c>
      <c r="L18" s="122">
        <v>3.9</v>
      </c>
      <c r="M18" s="122">
        <v>1.5</v>
      </c>
      <c r="N18" s="122">
        <v>-6.7</v>
      </c>
      <c r="O18" s="387">
        <f>SUM(K18:N18)</f>
        <v>5.2</v>
      </c>
      <c r="P18" s="122">
        <v>-11.4</v>
      </c>
      <c r="Q18" s="122">
        <v>0.4</v>
      </c>
    </row>
    <row r="19" spans="1:17" ht="33.75" customHeight="1">
      <c r="A19" s="7"/>
      <c r="B19" s="130" t="s">
        <v>144</v>
      </c>
      <c r="C19" s="345" t="s">
        <v>194</v>
      </c>
      <c r="D19" s="345">
        <v>5</v>
      </c>
      <c r="E19" s="345">
        <v>3.5</v>
      </c>
      <c r="F19" s="122">
        <v>-4.9</v>
      </c>
      <c r="G19" s="388">
        <v>-0.3</v>
      </c>
      <c r="H19" s="122">
        <v>-1.4</v>
      </c>
      <c r="I19" s="122">
        <v>0.2</v>
      </c>
      <c r="J19" s="387">
        <f>SUM(F19:I19)</f>
        <v>-6.4</v>
      </c>
      <c r="K19" s="122">
        <v>-2.6</v>
      </c>
      <c r="L19" s="122">
        <v>-1.6</v>
      </c>
      <c r="M19" s="122">
        <v>-0.8</v>
      </c>
      <c r="N19" s="122">
        <v>3.7</v>
      </c>
      <c r="O19" s="387">
        <f>SUM(K19:N19)</f>
        <v>-1.3</v>
      </c>
      <c r="P19" s="122">
        <v>-2.2</v>
      </c>
      <c r="Q19" s="122">
        <v>0.6</v>
      </c>
    </row>
    <row r="20" spans="1:17" ht="17.25" customHeight="1" thickBot="1">
      <c r="A20" s="7"/>
      <c r="B20" s="21" t="s">
        <v>7</v>
      </c>
      <c r="C20" s="94" t="s">
        <v>194</v>
      </c>
      <c r="D20" s="94">
        <f aca="true" t="shared" si="4" ref="D20:I20">SUM(D17:D19)</f>
        <v>-10.7</v>
      </c>
      <c r="E20" s="94">
        <f t="shared" si="4"/>
        <v>41.7</v>
      </c>
      <c r="F20" s="94">
        <f>SUM(F17:F19)</f>
        <v>22.9</v>
      </c>
      <c r="G20" s="94">
        <f t="shared" si="4"/>
        <v>12.9</v>
      </c>
      <c r="H20" s="94">
        <f t="shared" si="4"/>
        <v>15.8</v>
      </c>
      <c r="I20" s="94">
        <f t="shared" si="4"/>
        <v>10.8</v>
      </c>
      <c r="J20" s="94">
        <f>SUM(F20:I20)</f>
        <v>62.4</v>
      </c>
      <c r="K20" s="94">
        <f>SUM(K17:K19)</f>
        <v>19.9</v>
      </c>
      <c r="L20" s="94">
        <f>SUM(L17:L19)</f>
        <v>14.2</v>
      </c>
      <c r="M20" s="94">
        <f>SUM(M17:M19)</f>
        <v>8</v>
      </c>
      <c r="N20" s="94">
        <f>SUM(N17:N19)</f>
        <v>4.5</v>
      </c>
      <c r="O20" s="94">
        <f>SUM(K20:N20)</f>
        <v>46.6</v>
      </c>
      <c r="P20" s="94">
        <f>SUM(P17:P19)</f>
        <v>-5.7</v>
      </c>
      <c r="Q20" s="94">
        <f>SUM(Q17:Q19)</f>
        <v>4.4</v>
      </c>
    </row>
    <row r="21" spans="1:17" ht="18.75" customHeight="1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7.25" customHeight="1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9.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9.5" customHeight="1">
      <c r="A24" s="7"/>
      <c r="B24" s="353" t="s">
        <v>204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8" ht="12" customHeight="1"/>
    <row r="37" ht="11.25" customHeight="1"/>
    <row r="52" ht="11.25" customHeight="1"/>
    <row r="60" ht="13.5" customHeight="1"/>
    <row r="76" ht="11.25" customHeight="1"/>
  </sheetData>
  <sheetProtection/>
  <mergeCells count="1">
    <mergeCell ref="B1:B2"/>
  </mergeCells>
  <conditionalFormatting sqref="C10:O10">
    <cfRule type="cellIs" priority="3" dxfId="0" operator="equal" stopIfTrue="1">
      <formula>"Error"</formula>
    </cfRule>
  </conditionalFormatting>
  <conditionalFormatting sqref="P10">
    <cfRule type="cellIs" priority="2" dxfId="0" operator="equal" stopIfTrue="1">
      <formula>"Error"</formula>
    </cfRule>
  </conditionalFormatting>
  <conditionalFormatting sqref="Q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7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8.28125" style="1" customWidth="1"/>
    <col min="3" max="3" width="11.57421875" style="1" customWidth="1" collapsed="1"/>
    <col min="4" max="17" width="11.57421875" style="1" customWidth="1"/>
    <col min="18" max="16384" width="1.7109375" style="1" customWidth="1"/>
  </cols>
  <sheetData>
    <row r="1" spans="1:17" ht="21.75" customHeight="1">
      <c r="A1" s="2"/>
      <c r="B1" s="438" t="s">
        <v>141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7.2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17.25" customHeight="1" thickBot="1">
      <c r="A7" s="7"/>
      <c r="B7" s="21" t="s">
        <v>13</v>
      </c>
      <c r="C7" s="22">
        <v>4782</v>
      </c>
      <c r="D7" s="22">
        <v>-2594</v>
      </c>
      <c r="E7" s="22">
        <v>-323</v>
      </c>
      <c r="F7" s="106">
        <v>52</v>
      </c>
      <c r="G7" s="106">
        <v>119</v>
      </c>
      <c r="H7" s="106">
        <v>282</v>
      </c>
      <c r="I7" s="106">
        <v>308</v>
      </c>
      <c r="J7" s="43">
        <f aca="true" t="shared" si="0" ref="J7:J15">SUM(F7:I7)</f>
        <v>761</v>
      </c>
      <c r="K7" s="106">
        <v>343</v>
      </c>
      <c r="L7" s="106">
        <v>566</v>
      </c>
      <c r="M7" s="106">
        <v>-128</v>
      </c>
      <c r="N7" s="106">
        <v>15</v>
      </c>
      <c r="O7" s="43">
        <f aca="true" t="shared" si="1" ref="O7:O15">SUM(K7:N7)</f>
        <v>796</v>
      </c>
      <c r="P7" s="22">
        <v>169</v>
      </c>
      <c r="Q7" s="22">
        <v>34</v>
      </c>
    </row>
    <row r="8" spans="1:17" s="18" customFormat="1" ht="17.25" customHeight="1" thickBot="1">
      <c r="A8" s="7"/>
      <c r="B8" s="23" t="s">
        <v>14</v>
      </c>
      <c r="C8" s="316">
        <v>0</v>
      </c>
      <c r="D8" s="316">
        <v>0</v>
      </c>
      <c r="E8" s="316">
        <v>0</v>
      </c>
      <c r="F8" s="107">
        <v>0</v>
      </c>
      <c r="G8" s="107">
        <v>0</v>
      </c>
      <c r="H8" s="107">
        <v>0</v>
      </c>
      <c r="I8" s="107">
        <v>0</v>
      </c>
      <c r="J8" s="44">
        <f t="shared" si="0"/>
        <v>0</v>
      </c>
      <c r="K8" s="107">
        <v>0</v>
      </c>
      <c r="L8" s="107">
        <v>0</v>
      </c>
      <c r="M8" s="107">
        <v>0</v>
      </c>
      <c r="N8" s="107">
        <v>0</v>
      </c>
      <c r="O8" s="44">
        <f t="shared" si="1"/>
        <v>0</v>
      </c>
      <c r="P8" s="316">
        <v>0</v>
      </c>
      <c r="Q8" s="316">
        <v>0</v>
      </c>
    </row>
    <row r="9" spans="1:17" s="18" customFormat="1" ht="17.25" customHeight="1">
      <c r="A9" s="7"/>
      <c r="B9" s="19" t="s">
        <v>15</v>
      </c>
      <c r="C9" s="317">
        <v>116</v>
      </c>
      <c r="D9" s="317">
        <v>75</v>
      </c>
      <c r="E9" s="317">
        <v>86</v>
      </c>
      <c r="F9" s="108">
        <v>2</v>
      </c>
      <c r="G9" s="108">
        <v>-2</v>
      </c>
      <c r="H9" s="108">
        <v>28</v>
      </c>
      <c r="I9" s="108">
        <v>9</v>
      </c>
      <c r="J9" s="45">
        <f t="shared" si="0"/>
        <v>37</v>
      </c>
      <c r="K9" s="108">
        <v>4</v>
      </c>
      <c r="L9" s="108">
        <v>3</v>
      </c>
      <c r="M9" s="108">
        <v>57</v>
      </c>
      <c r="N9" s="108">
        <v>-2</v>
      </c>
      <c r="O9" s="45">
        <f t="shared" si="1"/>
        <v>62</v>
      </c>
      <c r="P9" s="317">
        <v>4</v>
      </c>
      <c r="Q9" s="317">
        <v>5</v>
      </c>
    </row>
    <row r="10" spans="1:17" s="18" customFormat="1" ht="17.25" customHeight="1">
      <c r="A10" s="7"/>
      <c r="B10" s="24" t="s">
        <v>16</v>
      </c>
      <c r="C10" s="323">
        <v>66</v>
      </c>
      <c r="D10" s="323">
        <v>70</v>
      </c>
      <c r="E10" s="323">
        <v>97</v>
      </c>
      <c r="F10" s="109">
        <v>9</v>
      </c>
      <c r="G10" s="109">
        <v>18</v>
      </c>
      <c r="H10" s="109">
        <v>6</v>
      </c>
      <c r="I10" s="109">
        <v>4</v>
      </c>
      <c r="J10" s="46">
        <f t="shared" si="0"/>
        <v>37</v>
      </c>
      <c r="K10" s="109">
        <v>-2</v>
      </c>
      <c r="L10" s="109">
        <v>9</v>
      </c>
      <c r="M10" s="109">
        <v>7</v>
      </c>
      <c r="N10" s="109">
        <v>8</v>
      </c>
      <c r="O10" s="46">
        <f t="shared" si="1"/>
        <v>22</v>
      </c>
      <c r="P10" s="323">
        <v>7</v>
      </c>
      <c r="Q10" s="323">
        <v>9</v>
      </c>
    </row>
    <row r="11" spans="1:17" s="18" customFormat="1" ht="17.25" customHeight="1">
      <c r="A11" s="7"/>
      <c r="B11" s="27" t="s">
        <v>17</v>
      </c>
      <c r="C11" s="321">
        <v>0</v>
      </c>
      <c r="D11" s="321">
        <v>0</v>
      </c>
      <c r="E11" s="321">
        <v>0</v>
      </c>
      <c r="F11" s="110">
        <v>0</v>
      </c>
      <c r="G11" s="110">
        <v>0</v>
      </c>
      <c r="H11" s="110">
        <v>0</v>
      </c>
      <c r="I11" s="110">
        <v>0</v>
      </c>
      <c r="J11" s="47">
        <f t="shared" si="0"/>
        <v>0</v>
      </c>
      <c r="K11" s="110">
        <v>0</v>
      </c>
      <c r="L11" s="110">
        <v>0</v>
      </c>
      <c r="M11" s="110">
        <v>0</v>
      </c>
      <c r="N11" s="110">
        <v>0</v>
      </c>
      <c r="O11" s="47">
        <f t="shared" si="1"/>
        <v>0</v>
      </c>
      <c r="P11" s="321">
        <v>0</v>
      </c>
      <c r="Q11" s="321">
        <v>0</v>
      </c>
    </row>
    <row r="12" spans="1:17" ht="17.25" customHeight="1">
      <c r="A12" s="7"/>
      <c r="B12" s="19" t="s">
        <v>18</v>
      </c>
      <c r="C12" s="49">
        <f aca="true" t="shared" si="2" ref="C12:I12">SUM(C10:C11)</f>
        <v>66</v>
      </c>
      <c r="D12" s="49">
        <f t="shared" si="2"/>
        <v>70</v>
      </c>
      <c r="E12" s="49">
        <f t="shared" si="2"/>
        <v>97</v>
      </c>
      <c r="F12" s="49">
        <f t="shared" si="2"/>
        <v>9</v>
      </c>
      <c r="G12" s="49">
        <f t="shared" si="2"/>
        <v>18</v>
      </c>
      <c r="H12" s="49">
        <f t="shared" si="2"/>
        <v>6</v>
      </c>
      <c r="I12" s="49">
        <f t="shared" si="2"/>
        <v>4</v>
      </c>
      <c r="J12" s="49">
        <f t="shared" si="0"/>
        <v>37</v>
      </c>
      <c r="K12" s="49">
        <f>SUM(K10:K11)</f>
        <v>-2</v>
      </c>
      <c r="L12" s="49">
        <f>SUM(L10:L11)</f>
        <v>9</v>
      </c>
      <c r="M12" s="49">
        <f>SUM(M10:M11)</f>
        <v>7</v>
      </c>
      <c r="N12" s="49">
        <f>SUM(N10:N11)</f>
        <v>8</v>
      </c>
      <c r="O12" s="49">
        <f t="shared" si="1"/>
        <v>22</v>
      </c>
      <c r="P12" s="49">
        <f>SUM(P10:P11)</f>
        <v>7</v>
      </c>
      <c r="Q12" s="49">
        <f>SUM(Q10:Q11)</f>
        <v>9</v>
      </c>
    </row>
    <row r="13" spans="1:17" ht="17.25" customHeight="1" thickBot="1">
      <c r="A13" s="7"/>
      <c r="B13" s="28" t="s">
        <v>19</v>
      </c>
      <c r="C13" s="43">
        <f aca="true" t="shared" si="3" ref="C13:I13">+C9+C12</f>
        <v>182</v>
      </c>
      <c r="D13" s="43">
        <f t="shared" si="3"/>
        <v>145</v>
      </c>
      <c r="E13" s="43">
        <f t="shared" si="3"/>
        <v>183</v>
      </c>
      <c r="F13" s="43">
        <f t="shared" si="3"/>
        <v>11</v>
      </c>
      <c r="G13" s="43">
        <f t="shared" si="3"/>
        <v>16</v>
      </c>
      <c r="H13" s="43">
        <f t="shared" si="3"/>
        <v>34</v>
      </c>
      <c r="I13" s="43">
        <f t="shared" si="3"/>
        <v>13</v>
      </c>
      <c r="J13" s="43">
        <f t="shared" si="0"/>
        <v>74</v>
      </c>
      <c r="K13" s="43">
        <f>+K9+K12</f>
        <v>2</v>
      </c>
      <c r="L13" s="43">
        <f>+L9+L12</f>
        <v>12</v>
      </c>
      <c r="M13" s="43">
        <f>+M9+M12</f>
        <v>64</v>
      </c>
      <c r="N13" s="43">
        <f>+N9+N12</f>
        <v>6</v>
      </c>
      <c r="O13" s="43">
        <f t="shared" si="1"/>
        <v>84</v>
      </c>
      <c r="P13" s="43">
        <f>+P9+P12</f>
        <v>11</v>
      </c>
      <c r="Q13" s="43">
        <f>+Q9+Q12</f>
        <v>14</v>
      </c>
    </row>
    <row r="14" spans="1:17" ht="29.25" customHeight="1" thickBot="1">
      <c r="A14" s="7"/>
      <c r="B14" s="125" t="s">
        <v>89</v>
      </c>
      <c r="C14" s="44">
        <f aca="true" t="shared" si="4" ref="C14:I14">+C7-C8-C13</f>
        <v>4600</v>
      </c>
      <c r="D14" s="44">
        <f t="shared" si="4"/>
        <v>-2739</v>
      </c>
      <c r="E14" s="44">
        <f t="shared" si="4"/>
        <v>-506</v>
      </c>
      <c r="F14" s="44">
        <f t="shared" si="4"/>
        <v>41</v>
      </c>
      <c r="G14" s="44">
        <f t="shared" si="4"/>
        <v>103</v>
      </c>
      <c r="H14" s="44">
        <f t="shared" si="4"/>
        <v>248</v>
      </c>
      <c r="I14" s="44">
        <f t="shared" si="4"/>
        <v>295</v>
      </c>
      <c r="J14" s="44">
        <f t="shared" si="0"/>
        <v>687</v>
      </c>
      <c r="K14" s="44">
        <f>+K7-K8-K13</f>
        <v>341</v>
      </c>
      <c r="L14" s="44">
        <f>+L7-L8-L13</f>
        <v>554</v>
      </c>
      <c r="M14" s="44">
        <f>+M7-M8-M13</f>
        <v>-192</v>
      </c>
      <c r="N14" s="44">
        <f>+N7-N8-N13</f>
        <v>9</v>
      </c>
      <c r="O14" s="44">
        <f t="shared" si="1"/>
        <v>712</v>
      </c>
      <c r="P14" s="44">
        <f>+P7-P8-P13</f>
        <v>158</v>
      </c>
      <c r="Q14" s="44">
        <f>+Q7-Q8-Q13</f>
        <v>20</v>
      </c>
    </row>
    <row r="15" spans="1:17" s="18" customFormat="1" ht="17.25" customHeight="1">
      <c r="A15" s="7"/>
      <c r="B15" s="19" t="s">
        <v>20</v>
      </c>
      <c r="C15" s="317">
        <v>0</v>
      </c>
      <c r="D15" s="317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45">
        <f t="shared" si="0"/>
        <v>0</v>
      </c>
      <c r="K15" s="108">
        <v>0</v>
      </c>
      <c r="L15" s="108">
        <v>0</v>
      </c>
      <c r="M15" s="108">
        <v>0</v>
      </c>
      <c r="N15" s="108">
        <v>0</v>
      </c>
      <c r="O15" s="45">
        <f t="shared" si="1"/>
        <v>0</v>
      </c>
      <c r="P15" s="317">
        <v>0</v>
      </c>
      <c r="Q15" s="317">
        <v>0</v>
      </c>
    </row>
    <row r="16" spans="1:17" ht="26.25" hidden="1" outlineLevel="1" thickBot="1">
      <c r="A16" s="7"/>
      <c r="B16" s="126" t="s">
        <v>90</v>
      </c>
      <c r="C16" s="43">
        <f aca="true" t="shared" si="5" ref="C16:H16">+C14-C15</f>
        <v>4600</v>
      </c>
      <c r="D16" s="43">
        <f t="shared" si="5"/>
        <v>-2739</v>
      </c>
      <c r="E16" s="43">
        <f t="shared" si="5"/>
        <v>-506</v>
      </c>
      <c r="F16" s="43">
        <f t="shared" si="5"/>
        <v>41</v>
      </c>
      <c r="G16" s="43">
        <f t="shared" si="5"/>
        <v>103</v>
      </c>
      <c r="H16" s="43">
        <f t="shared" si="5"/>
        <v>248</v>
      </c>
      <c r="I16" s="43">
        <f aca="true" t="shared" si="6" ref="I16:O16">+I14-I15</f>
        <v>295</v>
      </c>
      <c r="J16" s="43">
        <f t="shared" si="6"/>
        <v>687</v>
      </c>
      <c r="K16" s="43">
        <f t="shared" si="6"/>
        <v>341</v>
      </c>
      <c r="L16" s="43">
        <f t="shared" si="6"/>
        <v>554</v>
      </c>
      <c r="M16" s="43">
        <f t="shared" si="6"/>
        <v>-192</v>
      </c>
      <c r="N16" s="43">
        <f t="shared" si="6"/>
        <v>9</v>
      </c>
      <c r="O16" s="43">
        <f t="shared" si="6"/>
        <v>712</v>
      </c>
      <c r="P16" s="43">
        <f>+P14-P15</f>
        <v>158</v>
      </c>
      <c r="Q16" s="43">
        <f>+Q14-Q15</f>
        <v>20</v>
      </c>
    </row>
    <row r="17" spans="1:17" s="18" customFormat="1" ht="17.25" customHeight="1" hidden="1" outlineLevel="1">
      <c r="A17" s="7"/>
      <c r="B17" s="19" t="s">
        <v>21</v>
      </c>
      <c r="C17" s="31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49">
        <f>SUM(F17:I17)</f>
        <v>0</v>
      </c>
      <c r="K17" s="105">
        <v>0</v>
      </c>
      <c r="L17" s="105">
        <v>0</v>
      </c>
      <c r="M17" s="105">
        <v>0</v>
      </c>
      <c r="N17" s="105">
        <v>0</v>
      </c>
      <c r="O17" s="49">
        <f>SUM(K17:N17)</f>
        <v>0</v>
      </c>
      <c r="P17" s="315">
        <v>0</v>
      </c>
      <c r="Q17" s="315">
        <v>0</v>
      </c>
    </row>
    <row r="18" spans="1:17" s="18" customFormat="1" ht="17.25" customHeight="1" hidden="1" outlineLevel="1">
      <c r="A18" s="7"/>
      <c r="B18" s="16" t="s">
        <v>22</v>
      </c>
      <c r="C18" s="320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52">
        <f>SUM(F18:I18)</f>
        <v>0</v>
      </c>
      <c r="K18" s="116">
        <v>0</v>
      </c>
      <c r="L18" s="116">
        <v>0</v>
      </c>
      <c r="M18" s="116">
        <v>0</v>
      </c>
      <c r="N18" s="116">
        <v>0</v>
      </c>
      <c r="O18" s="52">
        <f>SUM(K18:N18)</f>
        <v>0</v>
      </c>
      <c r="P18" s="320">
        <v>0</v>
      </c>
      <c r="Q18" s="320">
        <v>0</v>
      </c>
    </row>
    <row r="19" spans="1:17" s="18" customFormat="1" ht="17.25" customHeight="1" collapsed="1" thickBot="1">
      <c r="A19" s="7"/>
      <c r="B19" s="28" t="s">
        <v>86</v>
      </c>
      <c r="C19" s="43">
        <f aca="true" t="shared" si="7" ref="C19:I19">SUM(C16:C18)</f>
        <v>4600</v>
      </c>
      <c r="D19" s="43">
        <f t="shared" si="7"/>
        <v>-2739</v>
      </c>
      <c r="E19" s="43">
        <f t="shared" si="7"/>
        <v>-506</v>
      </c>
      <c r="F19" s="43">
        <f t="shared" si="7"/>
        <v>41</v>
      </c>
      <c r="G19" s="43">
        <f t="shared" si="7"/>
        <v>103</v>
      </c>
      <c r="H19" s="43">
        <f t="shared" si="7"/>
        <v>248</v>
      </c>
      <c r="I19" s="43">
        <f t="shared" si="7"/>
        <v>295</v>
      </c>
      <c r="J19" s="43">
        <f>SUM(F19:I19)</f>
        <v>687</v>
      </c>
      <c r="K19" s="43">
        <f>SUM(K16:K18)</f>
        <v>341</v>
      </c>
      <c r="L19" s="43">
        <f>SUM(L16:L18)</f>
        <v>554</v>
      </c>
      <c r="M19" s="43">
        <f>SUM(M16:M18)</f>
        <v>-192</v>
      </c>
      <c r="N19" s="43">
        <f>SUM(N16:N18)</f>
        <v>9</v>
      </c>
      <c r="O19" s="43">
        <f>SUM(K19:N19)</f>
        <v>712</v>
      </c>
      <c r="P19" s="43">
        <f>SUM(P16:P18)</f>
        <v>158</v>
      </c>
      <c r="Q19" s="43">
        <f>SUM(Q16:Q18)</f>
        <v>20</v>
      </c>
    </row>
    <row r="20" spans="1:17" s="18" customFormat="1" ht="33" customHeight="1" thickBot="1">
      <c r="A20" s="7"/>
      <c r="B20" s="127" t="s">
        <v>135</v>
      </c>
      <c r="C20" s="135">
        <f aca="true" t="shared" si="8" ref="C20:H20">+C19</f>
        <v>4600</v>
      </c>
      <c r="D20" s="135">
        <f t="shared" si="8"/>
        <v>-2739</v>
      </c>
      <c r="E20" s="135">
        <f t="shared" si="8"/>
        <v>-506</v>
      </c>
      <c r="F20" s="135">
        <f t="shared" si="8"/>
        <v>41</v>
      </c>
      <c r="G20" s="135">
        <f t="shared" si="8"/>
        <v>103</v>
      </c>
      <c r="H20" s="135">
        <f t="shared" si="8"/>
        <v>248</v>
      </c>
      <c r="I20" s="135">
        <f aca="true" t="shared" si="9" ref="I20:O20">+I19</f>
        <v>295</v>
      </c>
      <c r="J20" s="135">
        <f t="shared" si="9"/>
        <v>687</v>
      </c>
      <c r="K20" s="135">
        <f t="shared" si="9"/>
        <v>341</v>
      </c>
      <c r="L20" s="135">
        <f t="shared" si="9"/>
        <v>554</v>
      </c>
      <c r="M20" s="135">
        <f t="shared" si="9"/>
        <v>-192</v>
      </c>
      <c r="N20" s="135">
        <f t="shared" si="9"/>
        <v>9</v>
      </c>
      <c r="O20" s="135">
        <f t="shared" si="9"/>
        <v>712</v>
      </c>
      <c r="P20" s="135">
        <f>+P19</f>
        <v>158</v>
      </c>
      <c r="Q20" s="135">
        <f>+Q19</f>
        <v>20</v>
      </c>
    </row>
    <row r="21" spans="1:17" s="18" customFormat="1" ht="17.25" customHeight="1">
      <c r="A21" s="7"/>
      <c r="B21" s="19"/>
      <c r="C21" s="49"/>
      <c r="D21" s="49"/>
      <c r="E21" s="49"/>
      <c r="F21" s="105"/>
      <c r="G21" s="105"/>
      <c r="H21" s="105"/>
      <c r="I21" s="105"/>
      <c r="J21" s="49"/>
      <c r="K21" s="105"/>
      <c r="L21" s="105"/>
      <c r="M21" s="105"/>
      <c r="N21" s="105"/>
      <c r="O21" s="49"/>
      <c r="P21" s="49"/>
      <c r="Q21" s="49"/>
    </row>
    <row r="22" spans="1:17" ht="17.25" customHeight="1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7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Q52"/>
  <sheetViews>
    <sheetView showGridLines="0" tabSelected="1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7" width="11.57421875" style="1" customWidth="1"/>
    <col min="18" max="16384" width="1.7109375" style="1" customWidth="1"/>
  </cols>
  <sheetData>
    <row r="1" spans="1:17" ht="21.75" customHeight="1">
      <c r="A1" s="2"/>
      <c r="B1" s="436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7"/>
    </row>
    <row r="4" spans="1:17" ht="16.5" thickBot="1">
      <c r="A4" s="7"/>
      <c r="B4" s="9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7.25" customHeight="1">
      <c r="A6" s="7"/>
      <c r="B6" s="13" t="s">
        <v>103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s="18" customFormat="1" ht="17.25" customHeight="1">
      <c r="A7" s="7"/>
      <c r="B7" s="14" t="s">
        <v>9</v>
      </c>
      <c r="C7" s="313">
        <v>8303</v>
      </c>
      <c r="D7" s="313">
        <v>8409</v>
      </c>
      <c r="E7" s="313">
        <v>6763</v>
      </c>
      <c r="F7" s="103">
        <v>1898</v>
      </c>
      <c r="G7" s="103">
        <v>1207</v>
      </c>
      <c r="H7" s="103">
        <v>1699</v>
      </c>
      <c r="I7" s="103">
        <f>1670</f>
        <v>1670</v>
      </c>
      <c r="J7" s="383">
        <f>SUM(F7:I7)</f>
        <v>6474</v>
      </c>
      <c r="K7" s="103">
        <v>1732</v>
      </c>
      <c r="L7" s="103">
        <v>1378</v>
      </c>
      <c r="M7" s="103">
        <v>1634</v>
      </c>
      <c r="N7" s="103">
        <v>1661</v>
      </c>
      <c r="O7" s="383">
        <f>SUM(K7:N7)</f>
        <v>6405</v>
      </c>
      <c r="P7" s="313">
        <f>1861</f>
        <v>1861</v>
      </c>
      <c r="Q7" s="313">
        <v>1633</v>
      </c>
    </row>
    <row r="8" spans="1:17" s="18" customFormat="1" ht="17.25" customHeight="1">
      <c r="A8" s="7"/>
      <c r="B8" s="16" t="s">
        <v>10</v>
      </c>
      <c r="C8" s="314">
        <v>18960</v>
      </c>
      <c r="D8" s="314">
        <v>14755</v>
      </c>
      <c r="E8" s="314">
        <v>13702</v>
      </c>
      <c r="F8" s="104">
        <v>3420</v>
      </c>
      <c r="G8" s="104">
        <v>3604</v>
      </c>
      <c r="H8" s="104">
        <v>3271</v>
      </c>
      <c r="I8" s="104">
        <v>3836</v>
      </c>
      <c r="J8" s="87">
        <f aca="true" t="shared" si="0" ref="J8:J27">SUM(F8:I8)</f>
        <v>14131</v>
      </c>
      <c r="K8" s="104">
        <v>3679</v>
      </c>
      <c r="L8" s="104">
        <v>3469</v>
      </c>
      <c r="M8" s="104">
        <v>3071</v>
      </c>
      <c r="N8" s="104">
        <v>2765</v>
      </c>
      <c r="O8" s="87">
        <f aca="true" t="shared" si="1" ref="O8:O27">SUM(K8:N8)</f>
        <v>12984</v>
      </c>
      <c r="P8" s="314">
        <v>3179</v>
      </c>
      <c r="Q8" s="314">
        <v>3137</v>
      </c>
    </row>
    <row r="9" spans="1:17" s="18" customFormat="1" ht="17.25" customHeight="1">
      <c r="A9" s="7"/>
      <c r="B9" s="16" t="s">
        <v>11</v>
      </c>
      <c r="C9" s="314">
        <v>6146</v>
      </c>
      <c r="D9" s="314">
        <v>-9853</v>
      </c>
      <c r="E9" s="314">
        <v>12127</v>
      </c>
      <c r="F9" s="104">
        <v>3453</v>
      </c>
      <c r="G9" s="104">
        <v>3629</v>
      </c>
      <c r="H9" s="104">
        <v>938</v>
      </c>
      <c r="I9" s="104">
        <v>1308</v>
      </c>
      <c r="J9" s="87">
        <f t="shared" si="0"/>
        <v>9328</v>
      </c>
      <c r="K9" s="104">
        <v>2004</v>
      </c>
      <c r="L9" s="104">
        <v>1127</v>
      </c>
      <c r="M9" s="104">
        <v>1826</v>
      </c>
      <c r="N9" s="104">
        <v>-36</v>
      </c>
      <c r="O9" s="87">
        <f t="shared" si="1"/>
        <v>4921</v>
      </c>
      <c r="P9" s="314">
        <v>180</v>
      </c>
      <c r="Q9" s="314">
        <v>1147</v>
      </c>
    </row>
    <row r="10" spans="1:17" s="18" customFormat="1" ht="17.25" customHeight="1">
      <c r="A10" s="7"/>
      <c r="B10" s="19" t="s">
        <v>12</v>
      </c>
      <c r="C10" s="315">
        <v>1130</v>
      </c>
      <c r="D10" s="315">
        <v>-1449</v>
      </c>
      <c r="E10" s="315">
        <v>1025</v>
      </c>
      <c r="F10" s="105">
        <v>190</v>
      </c>
      <c r="G10" s="105">
        <v>-20</v>
      </c>
      <c r="H10" s="105">
        <v>376</v>
      </c>
      <c r="I10" s="105">
        <v>146</v>
      </c>
      <c r="J10" s="385">
        <f t="shared" si="0"/>
        <v>692</v>
      </c>
      <c r="K10" s="105">
        <v>398</v>
      </c>
      <c r="L10" s="105">
        <v>352</v>
      </c>
      <c r="M10" s="105">
        <v>286</v>
      </c>
      <c r="N10" s="105">
        <v>83</v>
      </c>
      <c r="O10" s="385">
        <f t="shared" si="1"/>
        <v>1119</v>
      </c>
      <c r="P10" s="315">
        <v>658</v>
      </c>
      <c r="Q10" s="315">
        <v>324</v>
      </c>
    </row>
    <row r="11" spans="1:17" s="18" customFormat="1" ht="17.25" customHeight="1" thickBot="1">
      <c r="A11" s="7"/>
      <c r="B11" s="21" t="s">
        <v>13</v>
      </c>
      <c r="C11" s="88">
        <f aca="true" t="shared" si="2" ref="C11:I11">SUM(C7:C10)</f>
        <v>34539</v>
      </c>
      <c r="D11" s="88">
        <f t="shared" si="2"/>
        <v>11862</v>
      </c>
      <c r="E11" s="88">
        <f t="shared" si="2"/>
        <v>33617</v>
      </c>
      <c r="F11" s="88">
        <f t="shared" si="2"/>
        <v>8961</v>
      </c>
      <c r="G11" s="88">
        <f t="shared" si="2"/>
        <v>8420</v>
      </c>
      <c r="H11" s="88">
        <f t="shared" si="2"/>
        <v>6284</v>
      </c>
      <c r="I11" s="88">
        <f t="shared" si="2"/>
        <v>6960</v>
      </c>
      <c r="J11" s="88">
        <f t="shared" si="0"/>
        <v>30625</v>
      </c>
      <c r="K11" s="88">
        <f>SUM(K7:K10)</f>
        <v>7813</v>
      </c>
      <c r="L11" s="88">
        <f>SUM(L7:L10)</f>
        <v>6326</v>
      </c>
      <c r="M11" s="88">
        <f>SUM(M7:M10)</f>
        <v>6817</v>
      </c>
      <c r="N11" s="88">
        <f>SUM(N7:N10)</f>
        <v>4473</v>
      </c>
      <c r="O11" s="88">
        <f t="shared" si="1"/>
        <v>25429</v>
      </c>
      <c r="P11" s="88">
        <f>SUM(P7:P10)</f>
        <v>5878</v>
      </c>
      <c r="Q11" s="88">
        <f>SUM(Q7:Q10)</f>
        <v>6241</v>
      </c>
    </row>
    <row r="12" spans="1:17" ht="17.25" customHeight="1" thickBot="1">
      <c r="A12" s="7"/>
      <c r="B12" s="23" t="s">
        <v>14</v>
      </c>
      <c r="C12" s="316">
        <v>240</v>
      </c>
      <c r="D12" s="316">
        <v>813</v>
      </c>
      <c r="E12" s="316">
        <v>506</v>
      </c>
      <c r="F12" s="107">
        <v>-50</v>
      </c>
      <c r="G12" s="107">
        <v>20</v>
      </c>
      <c r="H12" s="107">
        <v>-26</v>
      </c>
      <c r="I12" s="107">
        <v>-23</v>
      </c>
      <c r="J12" s="89">
        <f t="shared" si="0"/>
        <v>-79</v>
      </c>
      <c r="K12" s="107">
        <v>-7</v>
      </c>
      <c r="L12" s="107">
        <v>13</v>
      </c>
      <c r="M12" s="107">
        <v>84</v>
      </c>
      <c r="N12" s="107">
        <v>97</v>
      </c>
      <c r="O12" s="89">
        <f t="shared" si="1"/>
        <v>187</v>
      </c>
      <c r="P12" s="316">
        <v>34</v>
      </c>
      <c r="Q12" s="316">
        <v>25</v>
      </c>
    </row>
    <row r="13" spans="1:17" ht="17.25" customHeight="1">
      <c r="A13" s="7"/>
      <c r="B13" s="19" t="s">
        <v>15</v>
      </c>
      <c r="C13" s="317">
        <v>15982</v>
      </c>
      <c r="D13" s="317">
        <v>13179</v>
      </c>
      <c r="E13" s="317">
        <v>14927</v>
      </c>
      <c r="F13" s="108">
        <v>3891</v>
      </c>
      <c r="G13" s="108">
        <v>3982</v>
      </c>
      <c r="H13" s="108">
        <v>3327</v>
      </c>
      <c r="I13" s="108">
        <v>3362</v>
      </c>
      <c r="J13" s="386">
        <f t="shared" si="0"/>
        <v>14562</v>
      </c>
      <c r="K13" s="108">
        <v>4025</v>
      </c>
      <c r="L13" s="108">
        <v>3093</v>
      </c>
      <c r="M13" s="108">
        <v>3010</v>
      </c>
      <c r="N13" s="108">
        <v>3023</v>
      </c>
      <c r="O13" s="386">
        <f t="shared" si="1"/>
        <v>13151</v>
      </c>
      <c r="P13" s="317">
        <v>3707</v>
      </c>
      <c r="Q13" s="317">
        <v>3000</v>
      </c>
    </row>
    <row r="14" spans="1:17" ht="17.25" customHeight="1">
      <c r="A14" s="7"/>
      <c r="B14" s="24" t="s">
        <v>16</v>
      </c>
      <c r="C14" s="323">
        <v>6767</v>
      </c>
      <c r="D14" s="323">
        <v>7739</v>
      </c>
      <c r="E14" s="323">
        <v>7604</v>
      </c>
      <c r="F14" s="109">
        <v>1666</v>
      </c>
      <c r="G14" s="109">
        <v>2043</v>
      </c>
      <c r="H14" s="109">
        <v>1746</v>
      </c>
      <c r="I14" s="109">
        <v>1739</v>
      </c>
      <c r="J14" s="90">
        <f t="shared" si="0"/>
        <v>7194</v>
      </c>
      <c r="K14" s="109">
        <v>1634</v>
      </c>
      <c r="L14" s="109">
        <v>1643</v>
      </c>
      <c r="M14" s="109">
        <v>2202</v>
      </c>
      <c r="N14" s="109">
        <v>1871</v>
      </c>
      <c r="O14" s="90">
        <f t="shared" si="1"/>
        <v>7350</v>
      </c>
      <c r="P14" s="323">
        <v>1646</v>
      </c>
      <c r="Q14" s="323">
        <v>1664</v>
      </c>
    </row>
    <row r="15" spans="1:17" s="18" customFormat="1" ht="17.25" customHeight="1">
      <c r="A15" s="7"/>
      <c r="B15" s="27" t="s">
        <v>17</v>
      </c>
      <c r="C15" s="321">
        <v>2410</v>
      </c>
      <c r="D15" s="321">
        <v>2294</v>
      </c>
      <c r="E15" s="321">
        <v>1997</v>
      </c>
      <c r="F15" s="110">
        <v>520</v>
      </c>
      <c r="G15" s="110">
        <v>569</v>
      </c>
      <c r="H15" s="110">
        <v>484</v>
      </c>
      <c r="I15" s="110">
        <v>575</v>
      </c>
      <c r="J15" s="91">
        <f t="shared" si="0"/>
        <v>2148</v>
      </c>
      <c r="K15" s="110">
        <v>536</v>
      </c>
      <c r="L15" s="110">
        <v>491</v>
      </c>
      <c r="M15" s="110">
        <v>485</v>
      </c>
      <c r="N15" s="110">
        <v>480</v>
      </c>
      <c r="O15" s="91">
        <f t="shared" si="1"/>
        <v>1992</v>
      </c>
      <c r="P15" s="321">
        <v>451</v>
      </c>
      <c r="Q15" s="321">
        <v>441</v>
      </c>
    </row>
    <row r="16" spans="1:17" ht="17.25" customHeight="1">
      <c r="A16" s="7"/>
      <c r="B16" s="19" t="s">
        <v>18</v>
      </c>
      <c r="C16" s="92">
        <f aca="true" t="shared" si="3" ref="C16:I16">SUM(C14:C15)</f>
        <v>9177</v>
      </c>
      <c r="D16" s="92">
        <f t="shared" si="3"/>
        <v>10033</v>
      </c>
      <c r="E16" s="92">
        <f t="shared" si="3"/>
        <v>9601</v>
      </c>
      <c r="F16" s="92">
        <f t="shared" si="3"/>
        <v>2186</v>
      </c>
      <c r="G16" s="92">
        <f t="shared" si="3"/>
        <v>2612</v>
      </c>
      <c r="H16" s="92">
        <f t="shared" si="3"/>
        <v>2230</v>
      </c>
      <c r="I16" s="92">
        <f t="shared" si="3"/>
        <v>2314</v>
      </c>
      <c r="J16" s="92">
        <f t="shared" si="0"/>
        <v>9342</v>
      </c>
      <c r="K16" s="92">
        <f>SUM(K14:K15)</f>
        <v>2170</v>
      </c>
      <c r="L16" s="92">
        <f>SUM(L14:L15)</f>
        <v>2134</v>
      </c>
      <c r="M16" s="92">
        <f>SUM(M14:M15)</f>
        <v>2687</v>
      </c>
      <c r="N16" s="92">
        <f>SUM(N14:N15)</f>
        <v>2351</v>
      </c>
      <c r="O16" s="92">
        <f t="shared" si="1"/>
        <v>9342</v>
      </c>
      <c r="P16" s="92">
        <f>SUM(P14:P15)</f>
        <v>2097</v>
      </c>
      <c r="Q16" s="92">
        <f>SUM(Q14:Q15)</f>
        <v>2105</v>
      </c>
    </row>
    <row r="17" spans="1:17" ht="17.25" customHeight="1" thickBot="1">
      <c r="A17" s="7"/>
      <c r="B17" s="28" t="s">
        <v>19</v>
      </c>
      <c r="C17" s="88">
        <f aca="true" t="shared" si="4" ref="C17:I17">+C13+C16</f>
        <v>25159</v>
      </c>
      <c r="D17" s="88">
        <f t="shared" si="4"/>
        <v>23212</v>
      </c>
      <c r="E17" s="88">
        <f t="shared" si="4"/>
        <v>24528</v>
      </c>
      <c r="F17" s="88">
        <f t="shared" si="4"/>
        <v>6077</v>
      </c>
      <c r="G17" s="88">
        <f t="shared" si="4"/>
        <v>6594</v>
      </c>
      <c r="H17" s="88">
        <f t="shared" si="4"/>
        <v>5557</v>
      </c>
      <c r="I17" s="88">
        <f t="shared" si="4"/>
        <v>5676</v>
      </c>
      <c r="J17" s="88">
        <f t="shared" si="0"/>
        <v>23904</v>
      </c>
      <c r="K17" s="88">
        <f>+K13+K16</f>
        <v>6195</v>
      </c>
      <c r="L17" s="88">
        <f>+L13+L16</f>
        <v>5227</v>
      </c>
      <c r="M17" s="88">
        <f>+M13+M16</f>
        <v>5697</v>
      </c>
      <c r="N17" s="88">
        <f>+N13+N16</f>
        <v>5374</v>
      </c>
      <c r="O17" s="88">
        <f t="shared" si="1"/>
        <v>22493</v>
      </c>
      <c r="P17" s="88">
        <f>+P13+P16</f>
        <v>5804</v>
      </c>
      <c r="Q17" s="88">
        <f>+Q13+Q16</f>
        <v>5105</v>
      </c>
    </row>
    <row r="18" spans="1:17" ht="26.25" thickBot="1">
      <c r="A18" s="7"/>
      <c r="B18" s="125" t="s">
        <v>89</v>
      </c>
      <c r="C18" s="89">
        <f aca="true" t="shared" si="5" ref="C18:I18">+C11-C12-C17</f>
        <v>9140</v>
      </c>
      <c r="D18" s="89">
        <f t="shared" si="5"/>
        <v>-12163</v>
      </c>
      <c r="E18" s="89">
        <f t="shared" si="5"/>
        <v>8583</v>
      </c>
      <c r="F18" s="89">
        <f t="shared" si="5"/>
        <v>2934</v>
      </c>
      <c r="G18" s="89">
        <f t="shared" si="5"/>
        <v>1806</v>
      </c>
      <c r="H18" s="89">
        <f t="shared" si="5"/>
        <v>753</v>
      </c>
      <c r="I18" s="89">
        <f t="shared" si="5"/>
        <v>1307</v>
      </c>
      <c r="J18" s="89">
        <f t="shared" si="0"/>
        <v>6800</v>
      </c>
      <c r="K18" s="89">
        <f>+K11-K12-K17</f>
        <v>1625</v>
      </c>
      <c r="L18" s="89">
        <f>+L11-L12-L17</f>
        <v>1086</v>
      </c>
      <c r="M18" s="89">
        <f>+M11-M12-M17</f>
        <v>1036</v>
      </c>
      <c r="N18" s="89">
        <f>+N11-N12-N17</f>
        <v>-998</v>
      </c>
      <c r="O18" s="89">
        <f t="shared" si="1"/>
        <v>2749</v>
      </c>
      <c r="P18" s="89">
        <f>+P11-P12-P17</f>
        <v>40</v>
      </c>
      <c r="Q18" s="89">
        <f>+Q11-Q12-Q17</f>
        <v>1111</v>
      </c>
    </row>
    <row r="19" spans="1:17" s="18" customFormat="1" ht="17.25" customHeight="1">
      <c r="A19" s="7"/>
      <c r="B19" s="19" t="s">
        <v>87</v>
      </c>
      <c r="C19" s="317">
        <v>1248</v>
      </c>
      <c r="D19" s="317">
        <v>-4596</v>
      </c>
      <c r="E19" s="317">
        <v>1835</v>
      </c>
      <c r="F19" s="108">
        <v>839</v>
      </c>
      <c r="G19" s="108">
        <f>187</f>
        <v>187</v>
      </c>
      <c r="H19" s="108">
        <f>117</f>
        <v>117</v>
      </c>
      <c r="I19" s="108">
        <v>405</v>
      </c>
      <c r="J19" s="386">
        <f t="shared" si="0"/>
        <v>1548</v>
      </c>
      <c r="K19" s="108">
        <v>465</v>
      </c>
      <c r="L19" s="108">
        <v>271</v>
      </c>
      <c r="M19" s="108">
        <v>332</v>
      </c>
      <c r="N19" s="108">
        <v>-397</v>
      </c>
      <c r="O19" s="386">
        <f t="shared" si="1"/>
        <v>671</v>
      </c>
      <c r="P19" s="317">
        <v>-16</v>
      </c>
      <c r="Q19" s="317">
        <v>311</v>
      </c>
    </row>
    <row r="20" spans="1:17" ht="26.25" thickBot="1">
      <c r="A20" s="7"/>
      <c r="B20" s="126" t="s">
        <v>90</v>
      </c>
      <c r="C20" s="43">
        <f aca="true" t="shared" si="6" ref="C20:I20">+C18-C19</f>
        <v>7892</v>
      </c>
      <c r="D20" s="43">
        <f t="shared" si="6"/>
        <v>-7567</v>
      </c>
      <c r="E20" s="43">
        <f t="shared" si="6"/>
        <v>6748</v>
      </c>
      <c r="F20" s="43">
        <f t="shared" si="6"/>
        <v>2095</v>
      </c>
      <c r="G20" s="43">
        <f t="shared" si="6"/>
        <v>1619</v>
      </c>
      <c r="H20" s="43">
        <f t="shared" si="6"/>
        <v>636</v>
      </c>
      <c r="I20" s="43">
        <f t="shared" si="6"/>
        <v>902</v>
      </c>
      <c r="J20" s="43">
        <f t="shared" si="0"/>
        <v>5252</v>
      </c>
      <c r="K20" s="43">
        <f>+K18-K19</f>
        <v>1160</v>
      </c>
      <c r="L20" s="43">
        <f>+L18-L19</f>
        <v>815</v>
      </c>
      <c r="M20" s="43">
        <f>+M18-M19</f>
        <v>704</v>
      </c>
      <c r="N20" s="43">
        <f>+N18-N19</f>
        <v>-601</v>
      </c>
      <c r="O20" s="43">
        <f t="shared" si="1"/>
        <v>2078</v>
      </c>
      <c r="P20" s="43">
        <f>+P18-P19</f>
        <v>56</v>
      </c>
      <c r="Q20" s="43">
        <f>+Q18-Q19</f>
        <v>800</v>
      </c>
    </row>
    <row r="21" spans="1:17" ht="17.25" customHeight="1">
      <c r="A21" s="7"/>
      <c r="B21" s="19" t="s">
        <v>93</v>
      </c>
      <c r="C21" s="315">
        <v>6</v>
      </c>
      <c r="D21" s="315">
        <v>-531</v>
      </c>
      <c r="E21" s="315">
        <v>169</v>
      </c>
      <c r="F21" s="105">
        <v>-19</v>
      </c>
      <c r="G21" s="105">
        <v>0</v>
      </c>
      <c r="H21" s="105">
        <v>0</v>
      </c>
      <c r="I21" s="105">
        <v>0</v>
      </c>
      <c r="J21" s="385">
        <f t="shared" si="0"/>
        <v>-19</v>
      </c>
      <c r="K21" s="105">
        <v>0</v>
      </c>
      <c r="L21" s="105">
        <v>0</v>
      </c>
      <c r="M21" s="105">
        <v>0</v>
      </c>
      <c r="N21" s="105">
        <v>0</v>
      </c>
      <c r="O21" s="385">
        <f t="shared" si="1"/>
        <v>0</v>
      </c>
      <c r="P21" s="315">
        <v>0</v>
      </c>
      <c r="Q21" s="315">
        <v>0</v>
      </c>
    </row>
    <row r="22" spans="1:17" s="18" customFormat="1" ht="21" customHeight="1">
      <c r="A22" s="7"/>
      <c r="B22" s="16" t="s">
        <v>22</v>
      </c>
      <c r="C22" s="320">
        <v>0</v>
      </c>
      <c r="D22" s="93">
        <v>0</v>
      </c>
      <c r="E22" s="320">
        <v>0</v>
      </c>
      <c r="F22" s="116">
        <v>0</v>
      </c>
      <c r="G22" s="116">
        <v>0</v>
      </c>
      <c r="H22" s="116">
        <v>0</v>
      </c>
      <c r="I22" s="116">
        <v>0</v>
      </c>
      <c r="J22" s="93">
        <f t="shared" si="0"/>
        <v>0</v>
      </c>
      <c r="K22" s="116">
        <v>0</v>
      </c>
      <c r="L22" s="116">
        <v>0</v>
      </c>
      <c r="M22" s="116">
        <v>0</v>
      </c>
      <c r="N22" s="116">
        <v>0</v>
      </c>
      <c r="O22" s="93">
        <f t="shared" si="1"/>
        <v>0</v>
      </c>
      <c r="P22" s="320">
        <v>0</v>
      </c>
      <c r="Q22" s="320">
        <v>0</v>
      </c>
    </row>
    <row r="23" spans="1:17" s="18" customFormat="1" ht="17.25" customHeight="1" thickBot="1">
      <c r="A23" s="7"/>
      <c r="B23" s="28" t="s">
        <v>86</v>
      </c>
      <c r="C23" s="88">
        <f aca="true" t="shared" si="7" ref="C23:I23">SUM(C20:C22)</f>
        <v>7898</v>
      </c>
      <c r="D23" s="88">
        <f t="shared" si="7"/>
        <v>-8098</v>
      </c>
      <c r="E23" s="88">
        <f>SUM(E20:E22)</f>
        <v>6917</v>
      </c>
      <c r="F23" s="88">
        <f t="shared" si="7"/>
        <v>2076</v>
      </c>
      <c r="G23" s="88">
        <f t="shared" si="7"/>
        <v>1619</v>
      </c>
      <c r="H23" s="88">
        <f t="shared" si="7"/>
        <v>636</v>
      </c>
      <c r="I23" s="88">
        <f t="shared" si="7"/>
        <v>902</v>
      </c>
      <c r="J23" s="88">
        <f t="shared" si="0"/>
        <v>5233</v>
      </c>
      <c r="K23" s="88">
        <f>SUM(K20:K22)</f>
        <v>1160</v>
      </c>
      <c r="L23" s="88">
        <f>SUM(L20:L22)</f>
        <v>815</v>
      </c>
      <c r="M23" s="88">
        <f>SUM(M20:M22)</f>
        <v>704</v>
      </c>
      <c r="N23" s="88">
        <f>SUM(N20:N22)</f>
        <v>-601</v>
      </c>
      <c r="O23" s="88">
        <f t="shared" si="1"/>
        <v>2078</v>
      </c>
      <c r="P23" s="88">
        <f>SUM(P20:P22)</f>
        <v>56</v>
      </c>
      <c r="Q23" s="88">
        <f>SUM(Q20:Q22)</f>
        <v>800</v>
      </c>
    </row>
    <row r="24" spans="1:17" s="18" customFormat="1" ht="31.5" customHeight="1">
      <c r="A24" s="7"/>
      <c r="B24" s="146" t="s">
        <v>135</v>
      </c>
      <c r="C24" s="91">
        <v>138</v>
      </c>
      <c r="D24" s="321">
        <v>120</v>
      </c>
      <c r="E24" s="321">
        <v>193</v>
      </c>
      <c r="F24" s="110">
        <v>21</v>
      </c>
      <c r="G24" s="110">
        <v>26</v>
      </c>
      <c r="H24" s="110">
        <v>27</v>
      </c>
      <c r="I24" s="110">
        <v>61</v>
      </c>
      <c r="J24" s="91">
        <f t="shared" si="0"/>
        <v>135</v>
      </c>
      <c r="K24" s="110">
        <v>21</v>
      </c>
      <c r="L24" s="110">
        <v>47</v>
      </c>
      <c r="M24" s="110">
        <v>21</v>
      </c>
      <c r="N24" s="110">
        <v>36</v>
      </c>
      <c r="O24" s="91">
        <f t="shared" si="1"/>
        <v>125</v>
      </c>
      <c r="P24" s="321">
        <v>12</v>
      </c>
      <c r="Q24" s="321">
        <v>12</v>
      </c>
    </row>
    <row r="25" spans="1:17" s="18" customFormat="1" ht="31.5" customHeight="1" thickBot="1">
      <c r="A25" s="7"/>
      <c r="B25" s="42" t="s">
        <v>110</v>
      </c>
      <c r="C25" s="43">
        <f aca="true" t="shared" si="8" ref="C25:I25">+C23-C24</f>
        <v>7760</v>
      </c>
      <c r="D25" s="43">
        <f t="shared" si="8"/>
        <v>-8218</v>
      </c>
      <c r="E25" s="43">
        <f t="shared" si="8"/>
        <v>6724</v>
      </c>
      <c r="F25" s="43">
        <f t="shared" si="8"/>
        <v>2055</v>
      </c>
      <c r="G25" s="43">
        <f t="shared" si="8"/>
        <v>1593</v>
      </c>
      <c r="H25" s="43">
        <f t="shared" si="8"/>
        <v>609</v>
      </c>
      <c r="I25" s="43">
        <f t="shared" si="8"/>
        <v>841</v>
      </c>
      <c r="J25" s="43">
        <f t="shared" si="0"/>
        <v>5098</v>
      </c>
      <c r="K25" s="43">
        <f>+K23-K24</f>
        <v>1139</v>
      </c>
      <c r="L25" s="43">
        <f>+L23-L24</f>
        <v>768</v>
      </c>
      <c r="M25" s="43">
        <f>+M23-M24</f>
        <v>683</v>
      </c>
      <c r="N25" s="43">
        <f>+N23-N24</f>
        <v>-637</v>
      </c>
      <c r="O25" s="43">
        <f t="shared" si="1"/>
        <v>1953</v>
      </c>
      <c r="P25" s="43">
        <f>+P23-P24</f>
        <v>44</v>
      </c>
      <c r="Q25" s="43">
        <f>+Q23-Q24</f>
        <v>788</v>
      </c>
    </row>
    <row r="26" spans="1:17" ht="30" customHeight="1">
      <c r="A26" s="7"/>
      <c r="B26" s="149" t="s">
        <v>105</v>
      </c>
      <c r="C26" s="148">
        <f aca="true" t="shared" si="9" ref="C26:I26">+C20-C24</f>
        <v>7754</v>
      </c>
      <c r="D26" s="148">
        <f t="shared" si="9"/>
        <v>-7687</v>
      </c>
      <c r="E26" s="148">
        <f t="shared" si="9"/>
        <v>6555</v>
      </c>
      <c r="F26" s="148">
        <f t="shared" si="9"/>
        <v>2074</v>
      </c>
      <c r="G26" s="148">
        <f t="shared" si="9"/>
        <v>1593</v>
      </c>
      <c r="H26" s="148">
        <f t="shared" si="9"/>
        <v>609</v>
      </c>
      <c r="I26" s="148">
        <f t="shared" si="9"/>
        <v>841</v>
      </c>
      <c r="J26" s="148">
        <f t="shared" si="0"/>
        <v>5117</v>
      </c>
      <c r="K26" s="148">
        <f>+K20-K24</f>
        <v>1139</v>
      </c>
      <c r="L26" s="148">
        <f>+L20-L24</f>
        <v>768</v>
      </c>
      <c r="M26" s="148">
        <f>+M20-M24</f>
        <v>683</v>
      </c>
      <c r="N26" s="148">
        <f>+N20-N24</f>
        <v>-637</v>
      </c>
      <c r="O26" s="148">
        <f t="shared" si="1"/>
        <v>1953</v>
      </c>
      <c r="P26" s="148">
        <f>+P20-P24</f>
        <v>44</v>
      </c>
      <c r="Q26" s="148">
        <f>+Q20-Q24</f>
        <v>788</v>
      </c>
    </row>
    <row r="27" spans="1:17" ht="26.25" thickBot="1">
      <c r="A27" s="7"/>
      <c r="B27" s="236" t="s">
        <v>111</v>
      </c>
      <c r="C27" s="237">
        <f>+C21</f>
        <v>6</v>
      </c>
      <c r="D27" s="237">
        <f>+D21</f>
        <v>-531</v>
      </c>
      <c r="E27" s="237">
        <f>+E21</f>
        <v>169</v>
      </c>
      <c r="F27" s="237">
        <f>+F21</f>
        <v>-19</v>
      </c>
      <c r="G27" s="237">
        <f>+G21</f>
        <v>0</v>
      </c>
      <c r="H27" s="237">
        <f>+H21</f>
        <v>0</v>
      </c>
      <c r="I27" s="237">
        <f>+I21</f>
        <v>0</v>
      </c>
      <c r="J27" s="237">
        <f t="shared" si="0"/>
        <v>-19</v>
      </c>
      <c r="K27" s="237">
        <f>+K21</f>
        <v>0</v>
      </c>
      <c r="L27" s="237">
        <f>+L21</f>
        <v>0</v>
      </c>
      <c r="M27" s="237">
        <f>+M21</f>
        <v>0</v>
      </c>
      <c r="N27" s="237">
        <f>+N21</f>
        <v>0</v>
      </c>
      <c r="O27" s="237">
        <f t="shared" si="1"/>
        <v>0</v>
      </c>
      <c r="P27" s="237">
        <f>+P21</f>
        <v>0</v>
      </c>
      <c r="Q27" s="237">
        <f>+Q21</f>
        <v>0</v>
      </c>
    </row>
    <row r="28" spans="1:17" ht="12" customHeight="1">
      <c r="A28" s="7"/>
      <c r="B28" s="1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7.25" customHeight="1">
      <c r="A29" s="7"/>
      <c r="B29" s="13" t="s">
        <v>104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7.25" customHeight="1">
      <c r="A30" s="7"/>
      <c r="B30" s="30" t="s">
        <v>40</v>
      </c>
      <c r="C30" s="54">
        <f>+C17/C11*100</f>
        <v>72.8</v>
      </c>
      <c r="D30" s="54">
        <f>+D17/D11*100</f>
        <v>195.7</v>
      </c>
      <c r="E30" s="54">
        <f>+E17/E11*100</f>
        <v>73</v>
      </c>
      <c r="F30" s="54">
        <f>+F17/F11*100</f>
        <v>67.8</v>
      </c>
      <c r="G30" s="54">
        <f>+G17/G11*100</f>
        <v>78.3</v>
      </c>
      <c r="H30" s="54">
        <f>+H17/H11*100</f>
        <v>88.4</v>
      </c>
      <c r="I30" s="54">
        <f>+I17/I11*100</f>
        <v>81.6</v>
      </c>
      <c r="J30" s="54">
        <f>+J17/J11*100</f>
        <v>78.1</v>
      </c>
      <c r="K30" s="54">
        <f>+K17/K11*100</f>
        <v>79.3</v>
      </c>
      <c r="L30" s="54">
        <f>+L17/L11*100</f>
        <v>82.6</v>
      </c>
      <c r="M30" s="54">
        <f>+M17/M11*100</f>
        <v>83.6</v>
      </c>
      <c r="N30" s="54">
        <f>+N17/N11*100</f>
        <v>120.1</v>
      </c>
      <c r="O30" s="54">
        <f>+O17/O11*100</f>
        <v>88.5</v>
      </c>
      <c r="P30" s="54">
        <f>+P17/P11*100</f>
        <v>98.7</v>
      </c>
      <c r="Q30" s="54">
        <f>+Q17/Q11*100</f>
        <v>81.8</v>
      </c>
    </row>
    <row r="31" spans="1:17" ht="17.25" customHeight="1">
      <c r="A31" s="7"/>
      <c r="B31" s="30" t="s">
        <v>41</v>
      </c>
      <c r="C31" s="54">
        <f>+C18/C11*100</f>
        <v>26.5</v>
      </c>
      <c r="D31" s="54">
        <f>+D18/D11*100</f>
        <v>-102.5</v>
      </c>
      <c r="E31" s="54">
        <f>+E18/E11*100</f>
        <v>25.5</v>
      </c>
      <c r="F31" s="54">
        <f>+F18/F11*100</f>
        <v>32.7</v>
      </c>
      <c r="G31" s="54">
        <f>+G18/G11*100</f>
        <v>21.4</v>
      </c>
      <c r="H31" s="54">
        <f>+H18/H11*100</f>
        <v>12</v>
      </c>
      <c r="I31" s="54">
        <f>+I18/I11*100</f>
        <v>18.8</v>
      </c>
      <c r="J31" s="54">
        <f>+J18/J11*100</f>
        <v>22.2</v>
      </c>
      <c r="K31" s="54">
        <f>+K18/K11*100</f>
        <v>20.8</v>
      </c>
      <c r="L31" s="54">
        <f>+L18/L11*100</f>
        <v>17.2</v>
      </c>
      <c r="M31" s="54">
        <f>+M18/M11*100</f>
        <v>15.2</v>
      </c>
      <c r="N31" s="54">
        <f>+N18/N11*100</f>
        <v>-22.3</v>
      </c>
      <c r="O31" s="54">
        <f>+O18/O11*100</f>
        <v>10.8</v>
      </c>
      <c r="P31" s="54">
        <f>+P18/P11*100</f>
        <v>0.7</v>
      </c>
      <c r="Q31" s="54">
        <f>+Q18/Q11*100</f>
        <v>17.8</v>
      </c>
    </row>
    <row r="32" spans="1:17" ht="17.25" customHeight="1">
      <c r="A32" s="7"/>
      <c r="B32" s="30" t="s">
        <v>68</v>
      </c>
      <c r="C32" s="54">
        <f>+C19/C18*100</f>
        <v>13.7</v>
      </c>
      <c r="D32" s="54">
        <f>+D19/D18*100</f>
        <v>37.8</v>
      </c>
      <c r="E32" s="54">
        <f>+E19/E18*100</f>
        <v>21.4</v>
      </c>
      <c r="F32" s="54">
        <f>+F19/F18*100</f>
        <v>28.6</v>
      </c>
      <c r="G32" s="54">
        <f>+G19/G18*100</f>
        <v>10.4</v>
      </c>
      <c r="H32" s="54">
        <f>+H19/H18*100</f>
        <v>15.5</v>
      </c>
      <c r="I32" s="54">
        <f>+I19/I18*100</f>
        <v>31</v>
      </c>
      <c r="J32" s="54">
        <f>+J19/J18*100</f>
        <v>22.8</v>
      </c>
      <c r="K32" s="54">
        <f>+K19/K18*100</f>
        <v>28.6</v>
      </c>
      <c r="L32" s="54">
        <f>+L19/L18*100</f>
        <v>25</v>
      </c>
      <c r="M32" s="54">
        <f>+M19/M18*100</f>
        <v>32</v>
      </c>
      <c r="N32" s="54">
        <f>+N19/N18*100</f>
        <v>39.8</v>
      </c>
      <c r="O32" s="54">
        <f>+O19/O18*100</f>
        <v>24.4</v>
      </c>
      <c r="P32" s="54">
        <f>+P19/P18*100</f>
        <v>-40</v>
      </c>
      <c r="Q32" s="54">
        <f>+Q19/Q18*100</f>
        <v>28</v>
      </c>
    </row>
    <row r="33" spans="1:17" ht="20.25" customHeight="1" thickBot="1">
      <c r="A33" s="7"/>
      <c r="B33" s="61" t="s">
        <v>151</v>
      </c>
      <c r="C33" s="65">
        <f>+C25/C11*100</f>
        <v>22.5</v>
      </c>
      <c r="D33" s="65">
        <f>+D25/D11*100</f>
        <v>-69.3</v>
      </c>
      <c r="E33" s="65">
        <f>+E25/E11*100</f>
        <v>20</v>
      </c>
      <c r="F33" s="65">
        <f>+F25/F11*100</f>
        <v>22.9</v>
      </c>
      <c r="G33" s="65">
        <f>+G25/G11*100</f>
        <v>18.9</v>
      </c>
      <c r="H33" s="65">
        <f>+H25/H11*100</f>
        <v>9.7</v>
      </c>
      <c r="I33" s="65">
        <f>+I25/I11*100</f>
        <v>12.1</v>
      </c>
      <c r="J33" s="65">
        <f>+J25/J11*100</f>
        <v>16.6</v>
      </c>
      <c r="K33" s="65">
        <f>+K25/K11*100</f>
        <v>14.6</v>
      </c>
      <c r="L33" s="65">
        <f>+L25/L11*100</f>
        <v>12.1</v>
      </c>
      <c r="M33" s="65">
        <f>+M25/M11*100</f>
        <v>10</v>
      </c>
      <c r="N33" s="65">
        <f>+N25/N11*100</f>
        <v>-14.2</v>
      </c>
      <c r="O33" s="65">
        <f>+O25/O11*100</f>
        <v>7.7</v>
      </c>
      <c r="P33" s="65">
        <f>+P25/P11*100</f>
        <v>0.7</v>
      </c>
      <c r="Q33" s="65">
        <f>+Q25/Q11*100</f>
        <v>12.6</v>
      </c>
    </row>
    <row r="34" spans="1:17" ht="11.25" customHeight="1">
      <c r="A34" s="7"/>
      <c r="B34" s="3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ht="17.25" customHeight="1">
      <c r="A35" s="7"/>
      <c r="B35" s="81" t="s">
        <v>69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</row>
    <row r="36" spans="1:17" ht="29.25" customHeight="1">
      <c r="A36" s="7"/>
      <c r="B36" s="305" t="s">
        <v>112</v>
      </c>
      <c r="C36" s="31">
        <v>21473</v>
      </c>
      <c r="D36" s="31">
        <v>12516</v>
      </c>
      <c r="E36" s="324">
        <v>12332</v>
      </c>
      <c r="F36" s="324">
        <v>13729</v>
      </c>
      <c r="G36" s="324">
        <v>14090</v>
      </c>
      <c r="H36" s="324">
        <v>12548</v>
      </c>
      <c r="I36" s="324">
        <v>11606</v>
      </c>
      <c r="J36" s="324">
        <v>11606</v>
      </c>
      <c r="K36" s="324">
        <v>11479</v>
      </c>
      <c r="L36" s="324">
        <v>11411</v>
      </c>
      <c r="M36" s="324">
        <v>11072</v>
      </c>
      <c r="N36" s="324">
        <v>11749</v>
      </c>
      <c r="O36" s="324">
        <v>11749</v>
      </c>
      <c r="P36" s="324">
        <v>10939</v>
      </c>
      <c r="Q36" s="324">
        <v>11809</v>
      </c>
    </row>
    <row r="37" spans="1:17" s="18" customFormat="1" ht="26.25" thickBot="1">
      <c r="A37" s="7"/>
      <c r="B37" s="127" t="s">
        <v>195</v>
      </c>
      <c r="C37" s="63" t="s">
        <v>194</v>
      </c>
      <c r="D37" s="63" t="s">
        <v>194</v>
      </c>
      <c r="E37" s="63">
        <v>144</v>
      </c>
      <c r="F37" s="63">
        <v>87</v>
      </c>
      <c r="G37" s="63">
        <v>93</v>
      </c>
      <c r="H37" s="63">
        <v>108</v>
      </c>
      <c r="I37" s="63">
        <v>90</v>
      </c>
      <c r="J37" s="63">
        <v>102</v>
      </c>
      <c r="K37" s="63">
        <v>77</v>
      </c>
      <c r="L37" s="63">
        <v>70</v>
      </c>
      <c r="M37" s="63">
        <v>76</v>
      </c>
      <c r="N37" s="63">
        <v>77</v>
      </c>
      <c r="O37" s="63">
        <v>75</v>
      </c>
      <c r="P37" s="327">
        <v>68</v>
      </c>
      <c r="Q37" s="327">
        <v>60</v>
      </c>
    </row>
    <row r="38" spans="1:17" ht="17.25" customHeight="1">
      <c r="A38" s="7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17.25" customHeight="1">
      <c r="A39" s="7"/>
      <c r="B39" s="13" t="s">
        <v>61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7.25" customHeight="1">
      <c r="A40" s="7"/>
      <c r="B40" s="97" t="s">
        <v>25</v>
      </c>
      <c r="C40" s="318">
        <v>22700</v>
      </c>
      <c r="D40" s="318">
        <v>23900</v>
      </c>
      <c r="E40" s="318">
        <v>23800</v>
      </c>
      <c r="F40" s="121">
        <v>24100</v>
      </c>
      <c r="G40" s="121">
        <v>24200</v>
      </c>
      <c r="H40" s="121">
        <v>24800</v>
      </c>
      <c r="I40" s="121">
        <v>24900</v>
      </c>
      <c r="J40" s="98">
        <f>I40</f>
        <v>24900</v>
      </c>
      <c r="K40" s="121">
        <v>24900</v>
      </c>
      <c r="L40" s="121">
        <v>24900</v>
      </c>
      <c r="M40" s="121">
        <v>24700</v>
      </c>
      <c r="N40" s="121">
        <v>24500</v>
      </c>
      <c r="O40" s="98">
        <f>N40</f>
        <v>24500</v>
      </c>
      <c r="P40" s="318">
        <v>23700</v>
      </c>
      <c r="Q40" s="318">
        <v>23800</v>
      </c>
    </row>
    <row r="41" spans="1:17" ht="17.25" customHeight="1">
      <c r="A41" s="7"/>
      <c r="B41" s="99" t="s">
        <v>24</v>
      </c>
      <c r="C41" s="329">
        <v>20900</v>
      </c>
      <c r="D41" s="329">
        <v>19900</v>
      </c>
      <c r="E41" s="322">
        <v>19800</v>
      </c>
      <c r="F41" s="389">
        <v>20400</v>
      </c>
      <c r="G41" s="389">
        <v>21100</v>
      </c>
      <c r="H41" s="389">
        <v>21700</v>
      </c>
      <c r="I41" s="389">
        <v>21200</v>
      </c>
      <c r="J41" s="148">
        <f>I41</f>
        <v>21200</v>
      </c>
      <c r="K41" s="389">
        <v>21300</v>
      </c>
      <c r="L41" s="389">
        <v>21900</v>
      </c>
      <c r="M41" s="389">
        <v>22100</v>
      </c>
      <c r="N41" s="389">
        <v>21400</v>
      </c>
      <c r="O41" s="148">
        <f>N41</f>
        <v>21400</v>
      </c>
      <c r="P41" s="322">
        <v>21200</v>
      </c>
      <c r="Q41" s="322">
        <v>20600</v>
      </c>
    </row>
    <row r="42" spans="1:17" ht="17.25" customHeight="1">
      <c r="A42" s="7"/>
      <c r="B42" s="99" t="s">
        <v>26</v>
      </c>
      <c r="C42" s="329">
        <v>3800</v>
      </c>
      <c r="D42" s="329">
        <v>3300</v>
      </c>
      <c r="E42" s="329">
        <v>3200</v>
      </c>
      <c r="F42" s="389">
        <v>3000</v>
      </c>
      <c r="G42" s="389">
        <v>3000</v>
      </c>
      <c r="H42" s="389">
        <v>3100</v>
      </c>
      <c r="I42" s="389">
        <v>3100</v>
      </c>
      <c r="J42" s="100">
        <f>I42</f>
        <v>3100</v>
      </c>
      <c r="K42" s="389">
        <v>3000</v>
      </c>
      <c r="L42" s="389">
        <v>3000</v>
      </c>
      <c r="M42" s="389">
        <v>3000</v>
      </c>
      <c r="N42" s="389">
        <v>2900</v>
      </c>
      <c r="O42" s="100">
        <f>N42</f>
        <v>2900</v>
      </c>
      <c r="P42" s="329">
        <v>2900</v>
      </c>
      <c r="Q42" s="329">
        <v>2900</v>
      </c>
    </row>
    <row r="43" spans="1:17" ht="17.25" customHeight="1">
      <c r="A43" s="7"/>
      <c r="B43" s="29" t="s">
        <v>27</v>
      </c>
      <c r="C43" s="330">
        <v>700</v>
      </c>
      <c r="D43" s="330">
        <v>700</v>
      </c>
      <c r="E43" s="330">
        <v>800</v>
      </c>
      <c r="F43" s="117">
        <v>800</v>
      </c>
      <c r="G43" s="117">
        <v>900</v>
      </c>
      <c r="H43" s="117">
        <v>900</v>
      </c>
      <c r="I43" s="117">
        <v>900</v>
      </c>
      <c r="J43" s="56">
        <f>I43</f>
        <v>900</v>
      </c>
      <c r="K43" s="117">
        <v>900</v>
      </c>
      <c r="L43" s="117">
        <v>900</v>
      </c>
      <c r="M43" s="117">
        <v>900</v>
      </c>
      <c r="N43" s="117">
        <v>900</v>
      </c>
      <c r="O43" s="56">
        <f>N43</f>
        <v>900</v>
      </c>
      <c r="P43" s="330">
        <v>900</v>
      </c>
      <c r="Q43" s="330">
        <v>900</v>
      </c>
    </row>
    <row r="44" spans="1:17" ht="17.25" customHeight="1" thickBot="1">
      <c r="A44" s="7"/>
      <c r="B44" s="28" t="s">
        <v>62</v>
      </c>
      <c r="C44" s="381">
        <v>48100</v>
      </c>
      <c r="D44" s="88">
        <f>SUM(D40:D43)</f>
        <v>47800</v>
      </c>
      <c r="E44" s="88">
        <f>SUM(E40:E43)</f>
        <v>47600</v>
      </c>
      <c r="F44" s="88">
        <f>SUM(F40:F43)</f>
        <v>48300</v>
      </c>
      <c r="G44" s="88">
        <f>SUM(G40:G43)</f>
        <v>49200</v>
      </c>
      <c r="H44" s="88">
        <f>SUM(H40:H43)</f>
        <v>50500</v>
      </c>
      <c r="I44" s="88">
        <f aca="true" t="shared" si="10" ref="I44:O44">SUM(I40:I43)</f>
        <v>50100</v>
      </c>
      <c r="J44" s="88">
        <f t="shared" si="10"/>
        <v>50100</v>
      </c>
      <c r="K44" s="88">
        <f t="shared" si="10"/>
        <v>50100</v>
      </c>
      <c r="L44" s="88">
        <f t="shared" si="10"/>
        <v>50700</v>
      </c>
      <c r="M44" s="88">
        <f t="shared" si="10"/>
        <v>50700</v>
      </c>
      <c r="N44" s="88">
        <f t="shared" si="10"/>
        <v>49700</v>
      </c>
      <c r="O44" s="88">
        <f t="shared" si="10"/>
        <v>49700</v>
      </c>
      <c r="P44" s="88">
        <f>SUM(P40:P43)</f>
        <v>48700</v>
      </c>
      <c r="Q44" s="88">
        <f>SUM(Q40:Q43)</f>
        <v>48200</v>
      </c>
    </row>
    <row r="45" spans="1:17" ht="17.25" customHeight="1">
      <c r="A45" s="7"/>
      <c r="B45" s="35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17" ht="17.2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ht="17.25" customHeight="1">
      <c r="A47" s="7"/>
      <c r="B47" s="3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ht="17.25" customHeight="1">
      <c r="A48" s="231" t="str">
        <f>+'Credit Suisse'!A76</f>
        <v>1)</v>
      </c>
      <c r="B48" s="350" t="str">
        <f>+'Credit Suisse'!B76</f>
        <v>Based on amounts attributable to shareholders.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</row>
    <row r="49" ht="11.25" customHeight="1"/>
    <row r="51" ht="17.25" customHeight="1">
      <c r="I51" s="152"/>
    </row>
    <row r="52" ht="17.25" customHeight="1">
      <c r="I52" s="152"/>
    </row>
    <row r="57" ht="13.5" customHeight="1"/>
    <row r="73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7" width="11.57421875" style="1" customWidth="1"/>
    <col min="18" max="16384" width="1.7109375" style="1" customWidth="1"/>
  </cols>
  <sheetData>
    <row r="1" spans="1:17" ht="21.75" customHeight="1">
      <c r="A1" s="2"/>
      <c r="B1" s="438" t="s">
        <v>142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7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14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7.25" customHeight="1">
      <c r="A6" s="7"/>
      <c r="B6" s="13" t="s">
        <v>84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</row>
    <row r="7" spans="1:17" s="18" customFormat="1" ht="17.25" customHeight="1">
      <c r="A7" s="7"/>
      <c r="B7" s="14" t="s">
        <v>70</v>
      </c>
      <c r="C7" s="313">
        <v>9675</v>
      </c>
      <c r="D7" s="315">
        <v>9340</v>
      </c>
      <c r="E7" s="315">
        <v>8324</v>
      </c>
      <c r="F7" s="348">
        <v>2036</v>
      </c>
      <c r="G7" s="348">
        <v>2068</v>
      </c>
      <c r="H7" s="348">
        <v>1904</v>
      </c>
      <c r="I7" s="349">
        <v>1926</v>
      </c>
      <c r="J7" s="49">
        <f>SUM(F7:I7)</f>
        <v>7934</v>
      </c>
      <c r="K7" s="349">
        <v>2047</v>
      </c>
      <c r="L7" s="349">
        <v>1983</v>
      </c>
      <c r="M7" s="349">
        <v>1874</v>
      </c>
      <c r="N7" s="349">
        <v>1758</v>
      </c>
      <c r="O7" s="49">
        <f>SUM(K7:N7)</f>
        <v>7662</v>
      </c>
      <c r="P7" s="331">
        <v>1928</v>
      </c>
      <c r="Q7" s="331">
        <v>1933</v>
      </c>
    </row>
    <row r="8" spans="1:17" s="18" customFormat="1" ht="17.25" customHeight="1">
      <c r="A8" s="7"/>
      <c r="B8" s="16" t="s">
        <v>72</v>
      </c>
      <c r="C8" s="314">
        <v>11087</v>
      </c>
      <c r="D8" s="314">
        <v>-1287</v>
      </c>
      <c r="E8" s="314">
        <v>9999</v>
      </c>
      <c r="F8" s="348">
        <v>2423</v>
      </c>
      <c r="G8" s="348">
        <v>1984</v>
      </c>
      <c r="H8" s="348">
        <v>1700</v>
      </c>
      <c r="I8" s="349">
        <v>1611</v>
      </c>
      <c r="J8" s="51">
        <f>SUM(F8:I8)</f>
        <v>7718</v>
      </c>
      <c r="K8" s="349">
        <v>2077</v>
      </c>
      <c r="L8" s="349">
        <v>1696</v>
      </c>
      <c r="M8" s="349">
        <v>1534</v>
      </c>
      <c r="N8" s="349">
        <v>1213</v>
      </c>
      <c r="O8" s="51">
        <f>SUM(K8:N8)</f>
        <v>6520</v>
      </c>
      <c r="P8" s="331">
        <v>2031</v>
      </c>
      <c r="Q8" s="331">
        <v>1705</v>
      </c>
    </row>
    <row r="9" spans="1:17" s="18" customFormat="1" ht="17.25" customHeight="1">
      <c r="A9" s="7"/>
      <c r="B9" s="16" t="s">
        <v>159</v>
      </c>
      <c r="C9" s="314">
        <v>8473</v>
      </c>
      <c r="D9" s="314">
        <v>-1897</v>
      </c>
      <c r="E9" s="314">
        <v>12996</v>
      </c>
      <c r="F9" s="348">
        <v>3573</v>
      </c>
      <c r="G9" s="348">
        <v>2762</v>
      </c>
      <c r="H9" s="348">
        <v>2683</v>
      </c>
      <c r="I9" s="349">
        <v>2708</v>
      </c>
      <c r="J9" s="51">
        <f>SUM(F9:I9)</f>
        <v>11726</v>
      </c>
      <c r="K9" s="349">
        <v>3505</v>
      </c>
      <c r="L9" s="349">
        <v>1892</v>
      </c>
      <c r="M9" s="349">
        <v>1120</v>
      </c>
      <c r="N9" s="349">
        <v>755</v>
      </c>
      <c r="O9" s="51">
        <f>SUM(K9:N9)</f>
        <v>7272</v>
      </c>
      <c r="P9" s="331">
        <v>2618</v>
      </c>
      <c r="Q9" s="331">
        <v>2000</v>
      </c>
    </row>
    <row r="10" spans="1:17" s="18" customFormat="1" ht="17.25" customHeight="1">
      <c r="A10" s="7"/>
      <c r="B10" s="16" t="s">
        <v>80</v>
      </c>
      <c r="C10" s="314">
        <v>3923</v>
      </c>
      <c r="D10" s="314">
        <v>371</v>
      </c>
      <c r="E10" s="314">
        <v>3439</v>
      </c>
      <c r="F10" s="348">
        <v>805</v>
      </c>
      <c r="G10" s="348">
        <v>712</v>
      </c>
      <c r="H10" s="348">
        <v>762</v>
      </c>
      <c r="I10" s="349">
        <v>796</v>
      </c>
      <c r="J10" s="51">
        <f>SUM(F10:I10)</f>
        <v>3075</v>
      </c>
      <c r="K10" s="349">
        <v>916</v>
      </c>
      <c r="L10" s="349">
        <v>654</v>
      </c>
      <c r="M10" s="349">
        <v>546</v>
      </c>
      <c r="N10" s="349">
        <v>409</v>
      </c>
      <c r="O10" s="51">
        <f>SUM(K10:N10)</f>
        <v>2525</v>
      </c>
      <c r="P10" s="331">
        <v>867</v>
      </c>
      <c r="Q10" s="331">
        <v>525</v>
      </c>
    </row>
    <row r="11" spans="1:17" s="18" customFormat="1" ht="17.25" customHeight="1" thickBot="1">
      <c r="A11" s="7"/>
      <c r="B11" s="16" t="s">
        <v>27</v>
      </c>
      <c r="C11" s="51">
        <f>+'Corporate Center'!C7</f>
        <v>1381</v>
      </c>
      <c r="D11" s="51">
        <f>+'Corporate Center'!D7</f>
        <v>5335</v>
      </c>
      <c r="E11" s="51">
        <f>+'Corporate Center'!E7</f>
        <v>-1141</v>
      </c>
      <c r="F11" s="51">
        <f>+'Corporate Center'!F7</f>
        <v>124</v>
      </c>
      <c r="G11" s="51">
        <f>+'Corporate Center'!G7</f>
        <v>894</v>
      </c>
      <c r="H11" s="51">
        <f>+'Corporate Center'!H7</f>
        <v>-765</v>
      </c>
      <c r="I11" s="51">
        <f>+'Corporate Center'!I7</f>
        <v>-81</v>
      </c>
      <c r="J11" s="51">
        <f>+'Corporate Center'!J7</f>
        <v>172</v>
      </c>
      <c r="K11" s="51">
        <f>+'Corporate Center'!K7</f>
        <v>-732</v>
      </c>
      <c r="L11" s="51">
        <f>+'Corporate Center'!L7</f>
        <v>101</v>
      </c>
      <c r="M11" s="51">
        <f>+'Corporate Center'!M7</f>
        <v>1743</v>
      </c>
      <c r="N11" s="51">
        <f>+'Corporate Center'!N7</f>
        <v>338</v>
      </c>
      <c r="O11" s="51">
        <f>+'Corporate Center'!O7</f>
        <v>1450</v>
      </c>
      <c r="P11" s="51">
        <f>+'Corporate Center'!P7</f>
        <v>-1566</v>
      </c>
      <c r="Q11" s="51">
        <f>'Corporate Center'!Q7</f>
        <v>78</v>
      </c>
    </row>
    <row r="12" spans="1:17" ht="17.25" customHeight="1" thickBot="1">
      <c r="A12" s="7"/>
      <c r="B12" s="23" t="s">
        <v>85</v>
      </c>
      <c r="C12" s="44">
        <f>IF(SUM(C7+C8+C9+C10+C11)='Core Results'!C11,SUM(C7+C8+C9+C10+C11),"Error")</f>
        <v>34539</v>
      </c>
      <c r="D12" s="44">
        <f>IF(SUM(D7+D8+D9+D10+D11)='Core Results'!D11,SUM(D7+D8+D9+D10+D11),"Error")</f>
        <v>11862</v>
      </c>
      <c r="E12" s="44">
        <f>IF(SUM(E7+E8+E9+E10+E11)='Core Results'!E11,SUM(E7+E8+E9+E10+E11),"Error")</f>
        <v>33617</v>
      </c>
      <c r="F12" s="44">
        <f>IF(SUM(F7+F8+F9+F10+F11)='Core Results'!F11,SUM(F7+F8+F9+F10+F11),"Error")</f>
        <v>8961</v>
      </c>
      <c r="G12" s="44">
        <f>IF(SUM(G7+G8+G9+G10+G11)='Core Results'!G11,SUM(G7+G8+G9+G10+G11),"Error")</f>
        <v>8420</v>
      </c>
      <c r="H12" s="44">
        <f>IF(SUM(H7+H8+H9+H10+H11)='Core Results'!H11,SUM(H7+H8+H9+H10+H11),"Error")</f>
        <v>6284</v>
      </c>
      <c r="I12" s="44">
        <f>IF(SUM(I7+I8+I9+I10+I11)='Core Results'!I11,SUM(I7+I8+I9+I10+I11),"Error")</f>
        <v>6960</v>
      </c>
      <c r="J12" s="44">
        <f>IF(SUM(F12+G12+H12+I12)='Core Results'!J11,SUM(F12+G12+H12+I12),"Error")</f>
        <v>30625</v>
      </c>
      <c r="K12" s="44">
        <f>IF(SUM(K7:K11)='Core Results'!K11,SUM(K7:K11),"Error")</f>
        <v>7813</v>
      </c>
      <c r="L12" s="44">
        <f>IF(SUM(L7:L11)='Core Results'!L11,SUM(L7:L11),"Error")</f>
        <v>6326</v>
      </c>
      <c r="M12" s="44">
        <f>IF(SUM(M7:M11)='Core Results'!M11,SUM(M7:M11),"Error")</f>
        <v>6817</v>
      </c>
      <c r="N12" s="44">
        <f>IF(SUM(N7:N11)='Core Results'!N11,SUM(N7:N11),"Error")</f>
        <v>4473</v>
      </c>
      <c r="O12" s="44">
        <f>IF(SUM(K12+L12+M12+N12)='Core Results'!O11,SUM(K12+L12+M12+N12),"Error")</f>
        <v>25429</v>
      </c>
      <c r="P12" s="44">
        <f>IF(SUM(P7:P11)='Core Results'!P11,SUM(P7:P11),"Error")</f>
        <v>5878</v>
      </c>
      <c r="Q12" s="44">
        <f>IF(SUM(Q7:Q11)='Core Results'!Q11,SUM(Q7:Q11),"Error")</f>
        <v>6241</v>
      </c>
    </row>
    <row r="13" spans="1:17" ht="17.25" customHeight="1">
      <c r="A13" s="7"/>
      <c r="B13" s="11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7.25" customHeight="1">
      <c r="A14" s="7"/>
      <c r="B14" s="13" t="s">
        <v>138</v>
      </c>
      <c r="C14" s="15"/>
      <c r="D14" s="15"/>
      <c r="E14" s="15"/>
      <c r="F14" s="144"/>
      <c r="G14" s="144"/>
      <c r="H14" s="144"/>
      <c r="I14" s="144"/>
      <c r="J14" s="15"/>
      <c r="K14" s="144"/>
      <c r="L14" s="144"/>
      <c r="M14" s="144"/>
      <c r="N14" s="144"/>
      <c r="O14" s="15"/>
      <c r="P14" s="144"/>
      <c r="Q14" s="144"/>
    </row>
    <row r="15" spans="1:17" s="18" customFormat="1" ht="17.25" customHeight="1">
      <c r="A15" s="7"/>
      <c r="B15" s="14" t="s">
        <v>70</v>
      </c>
      <c r="C15" s="313">
        <v>4387</v>
      </c>
      <c r="D15" s="313">
        <v>3995</v>
      </c>
      <c r="E15" s="313">
        <v>3146</v>
      </c>
      <c r="F15" s="348">
        <v>735</v>
      </c>
      <c r="G15" s="348">
        <v>741</v>
      </c>
      <c r="H15" s="348">
        <v>669</v>
      </c>
      <c r="I15" s="349">
        <v>630</v>
      </c>
      <c r="J15" s="50">
        <f>SUM(F15:I15)</f>
        <v>2775</v>
      </c>
      <c r="K15" s="349">
        <v>713</v>
      </c>
      <c r="L15" s="349">
        <v>726</v>
      </c>
      <c r="M15" s="349">
        <v>604</v>
      </c>
      <c r="N15" s="349">
        <v>436</v>
      </c>
      <c r="O15" s="50">
        <f>SUM(K15:N15)</f>
        <v>2479</v>
      </c>
      <c r="P15" s="331">
        <v>667</v>
      </c>
      <c r="Q15" s="331">
        <v>738</v>
      </c>
    </row>
    <row r="16" spans="1:17" s="18" customFormat="1" ht="17.25" customHeight="1">
      <c r="A16" s="7"/>
      <c r="B16" s="16" t="s">
        <v>72</v>
      </c>
      <c r="C16" s="314">
        <v>3108</v>
      </c>
      <c r="D16" s="314">
        <v>-8283</v>
      </c>
      <c r="E16" s="314">
        <v>2915</v>
      </c>
      <c r="F16" s="348">
        <v>648</v>
      </c>
      <c r="G16" s="348">
        <v>200</v>
      </c>
      <c r="H16" s="348">
        <v>78</v>
      </c>
      <c r="I16" s="349">
        <v>-169</v>
      </c>
      <c r="J16" s="51">
        <f>SUM(F16:I16)</f>
        <v>757</v>
      </c>
      <c r="K16" s="349">
        <v>348</v>
      </c>
      <c r="L16" s="349">
        <v>97</v>
      </c>
      <c r="M16" s="349">
        <v>-159</v>
      </c>
      <c r="N16" s="349">
        <v>-242</v>
      </c>
      <c r="O16" s="51">
        <f>SUM(K16:N16)</f>
        <v>44</v>
      </c>
      <c r="P16" s="331">
        <v>391</v>
      </c>
      <c r="Q16" s="331">
        <v>227</v>
      </c>
    </row>
    <row r="17" spans="1:17" s="18" customFormat="1" ht="17.25" customHeight="1">
      <c r="A17" s="7"/>
      <c r="B17" s="16" t="s">
        <v>159</v>
      </c>
      <c r="C17" s="314">
        <v>-875</v>
      </c>
      <c r="D17" s="314">
        <v>-9535</v>
      </c>
      <c r="E17" s="314">
        <v>4404</v>
      </c>
      <c r="F17" s="348">
        <v>1444</v>
      </c>
      <c r="G17" s="348">
        <v>665</v>
      </c>
      <c r="H17" s="348">
        <v>720</v>
      </c>
      <c r="I17" s="349">
        <v>1044</v>
      </c>
      <c r="J17" s="51">
        <f>SUM(F17:I17)</f>
        <v>3873</v>
      </c>
      <c r="K17" s="349">
        <v>1250</v>
      </c>
      <c r="L17" s="349">
        <v>390</v>
      </c>
      <c r="M17" s="349">
        <v>-774</v>
      </c>
      <c r="N17" s="349">
        <v>-860</v>
      </c>
      <c r="O17" s="51">
        <f>SUM(K17:N17)</f>
        <v>6</v>
      </c>
      <c r="P17" s="331">
        <v>619</v>
      </c>
      <c r="Q17" s="331">
        <v>419</v>
      </c>
    </row>
    <row r="18" spans="1:17" s="18" customFormat="1" ht="17.25" customHeight="1">
      <c r="A18" s="7"/>
      <c r="B18" s="16" t="s">
        <v>80</v>
      </c>
      <c r="C18" s="314">
        <v>1374</v>
      </c>
      <c r="D18" s="314">
        <v>-2345</v>
      </c>
      <c r="E18" s="314">
        <v>783</v>
      </c>
      <c r="F18" s="348">
        <v>115</v>
      </c>
      <c r="G18" s="348">
        <v>8</v>
      </c>
      <c r="H18" s="348">
        <v>119</v>
      </c>
      <c r="I18" s="349">
        <v>89</v>
      </c>
      <c r="J18" s="51">
        <f>SUM(F18:I18)</f>
        <v>331</v>
      </c>
      <c r="K18" s="349">
        <v>188</v>
      </c>
      <c r="L18" s="349">
        <v>40</v>
      </c>
      <c r="M18" s="349">
        <v>-87</v>
      </c>
      <c r="N18" s="349">
        <v>-230</v>
      </c>
      <c r="O18" s="51">
        <f>SUM(K18:N18)</f>
        <v>-89</v>
      </c>
      <c r="P18" s="331">
        <v>181</v>
      </c>
      <c r="Q18" s="331">
        <v>-93</v>
      </c>
    </row>
    <row r="19" spans="1:17" s="18" customFormat="1" ht="17.25" customHeight="1" thickBot="1">
      <c r="A19" s="7"/>
      <c r="B19" s="16" t="s">
        <v>27</v>
      </c>
      <c r="C19" s="51">
        <f>+'Corporate Center'!C14</f>
        <v>1146</v>
      </c>
      <c r="D19" s="51">
        <f>+'Corporate Center'!D14</f>
        <v>4005</v>
      </c>
      <c r="E19" s="51">
        <f>+'Corporate Center'!E14</f>
        <v>-2665</v>
      </c>
      <c r="F19" s="51">
        <f>+'Corporate Center'!F14</f>
        <v>-8</v>
      </c>
      <c r="G19" s="51">
        <f>+'Corporate Center'!G14</f>
        <v>192</v>
      </c>
      <c r="H19" s="51">
        <f>+'Corporate Center'!H14</f>
        <v>-833</v>
      </c>
      <c r="I19" s="51">
        <f>+'Corporate Center'!I14</f>
        <v>-287</v>
      </c>
      <c r="J19" s="51">
        <f>+'Corporate Center'!J14</f>
        <v>-936</v>
      </c>
      <c r="K19" s="51">
        <f>+'Corporate Center'!K14</f>
        <v>-874</v>
      </c>
      <c r="L19" s="51">
        <f>+'Corporate Center'!L14</f>
        <v>-167</v>
      </c>
      <c r="M19" s="51">
        <f>+'Corporate Center'!M14</f>
        <v>1452</v>
      </c>
      <c r="N19" s="51">
        <f>+'Corporate Center'!N14</f>
        <v>-102</v>
      </c>
      <c r="O19" s="51">
        <f>+'Corporate Center'!O14</f>
        <v>309</v>
      </c>
      <c r="P19" s="51">
        <f>+'Corporate Center'!P14</f>
        <v>-1818</v>
      </c>
      <c r="Q19" s="51">
        <f>+'Corporate Center'!Q14</f>
        <v>-180</v>
      </c>
    </row>
    <row r="20" spans="1:17" ht="28.5" customHeight="1" thickBot="1">
      <c r="A20" s="7"/>
      <c r="B20" s="125" t="s">
        <v>89</v>
      </c>
      <c r="C20" s="44">
        <f>IF(SUM(C15+C16+C17+C18+C19)='Core Results'!C18,SUM(C15+C16+C17+C18+C19),"Error")</f>
        <v>9140</v>
      </c>
      <c r="D20" s="44">
        <f>IF(SUM(D15+D16+D17+D18+D19)='Core Results'!D18,SUM(D15+D16+D17+D18+D19),"Error")</f>
        <v>-12163</v>
      </c>
      <c r="E20" s="44">
        <f>IF(SUM(E15:E19)='Core Results'!E18,SUM(E15:E19),"Error")</f>
        <v>8583</v>
      </c>
      <c r="F20" s="44">
        <f>IF(SUM(F15:F19)='Core Results'!F18,SUM(F15:F19),"Error")</f>
        <v>2934</v>
      </c>
      <c r="G20" s="44">
        <f>IF(SUM(G15:G19)='Core Results'!G18,SUM(G15:G19),"Error")</f>
        <v>1806</v>
      </c>
      <c r="H20" s="44">
        <f>IF(SUM(H15:H19)='Core Results'!H18,SUM(H15:H19),"Error")</f>
        <v>753</v>
      </c>
      <c r="I20" s="44">
        <f>IF(SUM(I15:I19)='Core Results'!I18,SUM(I15:I19),"Error")</f>
        <v>1307</v>
      </c>
      <c r="J20" s="44">
        <f>IF(SUM(F20+G20+H20+I20)='Core Results'!J18,SUM(F20+G20+H20+I20),"Error")</f>
        <v>6800</v>
      </c>
      <c r="K20" s="44">
        <f>IF(SUM(K15:K19)='Core Results'!K18,SUM(K15:K19),"Error")</f>
        <v>1625</v>
      </c>
      <c r="L20" s="44">
        <f>IF(SUM(L15:L19)='Core Results'!L18,SUM(L15:L19),"Error")</f>
        <v>1086</v>
      </c>
      <c r="M20" s="44">
        <f>IF(SUM(M15:M19)='Core Results'!M18,SUM(M15:M19),"Error")</f>
        <v>1036</v>
      </c>
      <c r="N20" s="44">
        <f>IF(SUM(N15:N19)='Core Results'!N18,SUM(N15:N19),"Error")</f>
        <v>-998</v>
      </c>
      <c r="O20" s="44">
        <f>IF(SUM(K20+L20+M20+N20)='Core Results'!O18,SUM(K20+L20+M20+N20),"Error")</f>
        <v>2749</v>
      </c>
      <c r="P20" s="44">
        <f>IF(SUM(P15:P19)='Core Results'!P18,SUM(P15:P19),"Error")</f>
        <v>40</v>
      </c>
      <c r="Q20" s="44">
        <f>IF(SUM(Q15:Q19)='Core Results'!Q18,SUM(Q15:Q19),"Error")</f>
        <v>1111</v>
      </c>
    </row>
    <row r="21" spans="1:17" ht="17.25" customHeight="1">
      <c r="A21" s="7"/>
      <c r="B21" s="35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17.25" customHeight="1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7.25" customHeight="1">
      <c r="A23" s="7"/>
      <c r="B23" s="35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s="18" customFormat="1" ht="17.25" customHeight="1">
      <c r="A24" s="231"/>
      <c r="B24" s="350" t="s">
        <v>204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O12 C20:O20">
    <cfRule type="cellIs" priority="3" dxfId="0" operator="equal" stopIfTrue="1">
      <formula>"Error"</formula>
    </cfRule>
  </conditionalFormatting>
  <conditionalFormatting sqref="P12 P20">
    <cfRule type="cellIs" priority="2" dxfId="0" operator="equal" stopIfTrue="1">
      <formula>"Error"</formula>
    </cfRule>
  </conditionalFormatting>
  <conditionalFormatting sqref="Q12 Q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7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="85" zoomScaleNormal="85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00390625" style="1" customWidth="1"/>
    <col min="3" max="23" width="11.57421875" style="1" customWidth="1"/>
    <col min="24" max="16384" width="1.7109375" style="1" customWidth="1"/>
  </cols>
  <sheetData>
    <row r="1" spans="1:17" ht="21.75" customHeight="1">
      <c r="A1" s="2"/>
      <c r="B1" s="436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18" customFormat="1" ht="17.25" customHeight="1" thickTop="1">
      <c r="A5" s="7"/>
      <c r="B5" s="35"/>
      <c r="C5" s="48"/>
      <c r="D5" s="138"/>
      <c r="E5" s="138"/>
      <c r="F5" s="48"/>
      <c r="G5" s="48"/>
      <c r="H5" s="48"/>
      <c r="I5" s="138"/>
      <c r="J5" s="138"/>
      <c r="K5" s="48"/>
      <c r="L5" s="48"/>
      <c r="M5" s="48"/>
      <c r="N5" s="48"/>
      <c r="O5" s="138"/>
      <c r="P5" s="48"/>
      <c r="Q5" s="48"/>
    </row>
    <row r="6" spans="1:17" ht="17.25" customHeight="1">
      <c r="A6" s="7"/>
      <c r="B6" s="13" t="s">
        <v>103</v>
      </c>
      <c r="C6" s="15"/>
      <c r="D6" s="139"/>
      <c r="E6" s="139"/>
      <c r="F6" s="15"/>
      <c r="G6" s="15"/>
      <c r="H6" s="15"/>
      <c r="I6" s="139"/>
      <c r="J6" s="139"/>
      <c r="K6" s="15"/>
      <c r="L6" s="15"/>
      <c r="M6" s="15"/>
      <c r="N6" s="15"/>
      <c r="O6" s="139"/>
      <c r="P6" s="15"/>
      <c r="Q6" s="15"/>
    </row>
    <row r="7" spans="1:17" ht="17.25" customHeight="1" thickBot="1">
      <c r="A7" s="7"/>
      <c r="B7" s="28" t="s">
        <v>13</v>
      </c>
      <c r="C7" s="185">
        <v>13139</v>
      </c>
      <c r="D7" s="185">
        <f>12847-219</f>
        <v>12628</v>
      </c>
      <c r="E7" s="185">
        <v>11504</v>
      </c>
      <c r="F7" s="185">
        <v>2861</v>
      </c>
      <c r="G7" s="185">
        <v>2942</v>
      </c>
      <c r="H7" s="185">
        <v>2783</v>
      </c>
      <c r="I7" s="185">
        <v>2871</v>
      </c>
      <c r="J7" s="187">
        <f>SUM(F7:I7)</f>
        <v>11457</v>
      </c>
      <c r="K7" s="185">
        <v>2838</v>
      </c>
      <c r="L7" s="185">
        <v>2754</v>
      </c>
      <c r="M7" s="185">
        <v>2600</v>
      </c>
      <c r="N7" s="185">
        <v>2556</v>
      </c>
      <c r="O7" s="187">
        <f>SUM(K7:N7)</f>
        <v>10748</v>
      </c>
      <c r="P7" s="185">
        <v>2604</v>
      </c>
      <c r="Q7" s="185">
        <v>2704</v>
      </c>
    </row>
    <row r="8" spans="1:17" s="18" customFormat="1" ht="17.25" customHeight="1" thickBot="1">
      <c r="A8" s="7"/>
      <c r="B8" s="28" t="s">
        <v>14</v>
      </c>
      <c r="C8" s="185">
        <v>-59</v>
      </c>
      <c r="D8" s="185">
        <v>133</v>
      </c>
      <c r="E8" s="185">
        <v>180</v>
      </c>
      <c r="F8" s="185">
        <v>19</v>
      </c>
      <c r="G8" s="185">
        <v>3</v>
      </c>
      <c r="H8" s="185">
        <v>-8</v>
      </c>
      <c r="I8" s="185">
        <v>4</v>
      </c>
      <c r="J8" s="187">
        <f>SUM(F8:I8)</f>
        <v>18</v>
      </c>
      <c r="K8" s="185">
        <v>12</v>
      </c>
      <c r="L8" s="185">
        <v>-2</v>
      </c>
      <c r="M8" s="185">
        <v>25</v>
      </c>
      <c r="N8" s="185">
        <v>75</v>
      </c>
      <c r="O8" s="187">
        <f>SUM(K8:N8)</f>
        <v>110</v>
      </c>
      <c r="P8" s="185">
        <v>40</v>
      </c>
      <c r="Q8" s="185">
        <v>39</v>
      </c>
    </row>
    <row r="9" spans="1:17" ht="17.25" customHeight="1">
      <c r="A9" s="7"/>
      <c r="B9" s="30" t="s">
        <v>15</v>
      </c>
      <c r="C9" s="162">
        <f>4529-57-23</f>
        <v>4449</v>
      </c>
      <c r="D9" s="391">
        <f>4260-50-19</f>
        <v>4191</v>
      </c>
      <c r="E9" s="391">
        <v>4576</v>
      </c>
      <c r="F9" s="162">
        <v>1160</v>
      </c>
      <c r="G9" s="162">
        <f>1214-12-11</f>
        <v>1191</v>
      </c>
      <c r="H9" s="162">
        <f>1139-13-10</f>
        <v>1116</v>
      </c>
      <c r="I9" s="162">
        <f>1201-11-11</f>
        <v>1179</v>
      </c>
      <c r="J9" s="392">
        <f>SUM(F9:I9)</f>
        <v>4646</v>
      </c>
      <c r="K9" s="162">
        <v>1199</v>
      </c>
      <c r="L9" s="162">
        <f>1135-13-11</f>
        <v>1111</v>
      </c>
      <c r="M9" s="162">
        <v>1092</v>
      </c>
      <c r="N9" s="162">
        <v>1105</v>
      </c>
      <c r="O9" s="392">
        <f>SUM(K9:N9)</f>
        <v>4507</v>
      </c>
      <c r="P9" s="162">
        <v>1194</v>
      </c>
      <c r="Q9" s="162">
        <v>1107</v>
      </c>
    </row>
    <row r="10" spans="1:17" ht="17.25" customHeight="1">
      <c r="A10" s="7"/>
      <c r="B10" s="24" t="s">
        <v>16</v>
      </c>
      <c r="C10" s="163">
        <f>2670-46+23</f>
        <v>2647</v>
      </c>
      <c r="D10" s="354">
        <f>3919-46+19</f>
        <v>3892</v>
      </c>
      <c r="E10" s="354">
        <v>2574</v>
      </c>
      <c r="F10" s="163">
        <v>638</v>
      </c>
      <c r="G10" s="163">
        <v>726</v>
      </c>
      <c r="H10" s="163">
        <v>713</v>
      </c>
      <c r="I10" s="163">
        <f>712-15+11</f>
        <v>708</v>
      </c>
      <c r="J10" s="168">
        <f>SUM(F10:I10)</f>
        <v>2785</v>
      </c>
      <c r="K10" s="163">
        <v>618</v>
      </c>
      <c r="L10" s="163">
        <v>660</v>
      </c>
      <c r="M10" s="163">
        <v>1129</v>
      </c>
      <c r="N10" s="163">
        <v>749</v>
      </c>
      <c r="O10" s="168">
        <f>SUM(K10:N10)</f>
        <v>3156</v>
      </c>
      <c r="P10" s="163">
        <f>621-11+9</f>
        <v>619</v>
      </c>
      <c r="Q10" s="163">
        <v>635</v>
      </c>
    </row>
    <row r="11" spans="1:17" s="18" customFormat="1" ht="17.25" customHeight="1">
      <c r="A11" s="7"/>
      <c r="B11" s="29" t="s">
        <v>17</v>
      </c>
      <c r="C11" s="164">
        <f>896-43</f>
        <v>853</v>
      </c>
      <c r="D11" s="355">
        <f>745-36</f>
        <v>709</v>
      </c>
      <c r="E11" s="355">
        <v>574</v>
      </c>
      <c r="F11" s="164">
        <v>160</v>
      </c>
      <c r="G11" s="164">
        <v>164</v>
      </c>
      <c r="H11" s="164">
        <v>138</v>
      </c>
      <c r="I11" s="355">
        <v>166</v>
      </c>
      <c r="J11" s="169">
        <f>SUM(F11:I11)</f>
        <v>628</v>
      </c>
      <c r="K11" s="164">
        <v>176</v>
      </c>
      <c r="L11" s="164">
        <v>150</v>
      </c>
      <c r="M11" s="164">
        <v>147</v>
      </c>
      <c r="N11" s="164">
        <v>143</v>
      </c>
      <c r="O11" s="169">
        <f>SUM(K11:N11)</f>
        <v>616</v>
      </c>
      <c r="P11" s="164">
        <v>145</v>
      </c>
      <c r="Q11" s="164">
        <v>148</v>
      </c>
    </row>
    <row r="12" spans="1:17" s="18" customFormat="1" ht="17.25" customHeight="1">
      <c r="A12" s="7"/>
      <c r="B12" s="30" t="s">
        <v>18</v>
      </c>
      <c r="C12" s="173">
        <f aca="true" t="shared" si="0" ref="C12:H12">+C11+C10</f>
        <v>3500</v>
      </c>
      <c r="D12" s="173">
        <f t="shared" si="0"/>
        <v>4601</v>
      </c>
      <c r="E12" s="173">
        <f>+E11+E10</f>
        <v>3148</v>
      </c>
      <c r="F12" s="173">
        <f t="shared" si="0"/>
        <v>798</v>
      </c>
      <c r="G12" s="173">
        <f t="shared" si="0"/>
        <v>890</v>
      </c>
      <c r="H12" s="173">
        <f t="shared" si="0"/>
        <v>851</v>
      </c>
      <c r="I12" s="173">
        <f aca="true" t="shared" si="1" ref="I12:O12">+I11+I10</f>
        <v>874</v>
      </c>
      <c r="J12" s="183">
        <f t="shared" si="1"/>
        <v>3413</v>
      </c>
      <c r="K12" s="173">
        <f t="shared" si="1"/>
        <v>794</v>
      </c>
      <c r="L12" s="173">
        <f t="shared" si="1"/>
        <v>810</v>
      </c>
      <c r="M12" s="173">
        <f t="shared" si="1"/>
        <v>1276</v>
      </c>
      <c r="N12" s="173">
        <f t="shared" si="1"/>
        <v>892</v>
      </c>
      <c r="O12" s="183">
        <f t="shared" si="1"/>
        <v>3772</v>
      </c>
      <c r="P12" s="173">
        <f>+P11+P10</f>
        <v>764</v>
      </c>
      <c r="Q12" s="173">
        <f>+Q11+Q10</f>
        <v>783</v>
      </c>
    </row>
    <row r="13" spans="1:17" s="18" customFormat="1" ht="17.25" customHeight="1" thickBot="1">
      <c r="A13" s="7"/>
      <c r="B13" s="28" t="s">
        <v>19</v>
      </c>
      <c r="C13" s="161">
        <f aca="true" t="shared" si="2" ref="C13:H13">(C9+C12)</f>
        <v>7949</v>
      </c>
      <c r="D13" s="161">
        <f t="shared" si="2"/>
        <v>8792</v>
      </c>
      <c r="E13" s="161">
        <f t="shared" si="2"/>
        <v>7724</v>
      </c>
      <c r="F13" s="161">
        <f t="shared" si="2"/>
        <v>1958</v>
      </c>
      <c r="G13" s="161">
        <f t="shared" si="2"/>
        <v>2081</v>
      </c>
      <c r="H13" s="161">
        <f t="shared" si="2"/>
        <v>1967</v>
      </c>
      <c r="I13" s="161">
        <f aca="true" t="shared" si="3" ref="I13:O13">(I9+I12)</f>
        <v>2053</v>
      </c>
      <c r="J13" s="161">
        <f t="shared" si="3"/>
        <v>8059</v>
      </c>
      <c r="K13" s="161">
        <f t="shared" si="3"/>
        <v>1993</v>
      </c>
      <c r="L13" s="161">
        <f t="shared" si="3"/>
        <v>1921</v>
      </c>
      <c r="M13" s="161">
        <f t="shared" si="3"/>
        <v>2368</v>
      </c>
      <c r="N13" s="161">
        <f t="shared" si="3"/>
        <v>1997</v>
      </c>
      <c r="O13" s="161">
        <f t="shared" si="3"/>
        <v>8279</v>
      </c>
      <c r="P13" s="161">
        <f>(P9+P12)</f>
        <v>1958</v>
      </c>
      <c r="Q13" s="161">
        <f>(Q9+Q12)</f>
        <v>1890</v>
      </c>
    </row>
    <row r="14" spans="1:17" s="18" customFormat="1" ht="17.25" customHeight="1" thickBot="1">
      <c r="A14" s="7"/>
      <c r="B14" s="42" t="s">
        <v>99</v>
      </c>
      <c r="C14" s="161">
        <f aca="true" t="shared" si="4" ref="C14:H14">IF((+C7-C8-C13)=C15+C16,(+C7-C8-C13),"Error")</f>
        <v>5249</v>
      </c>
      <c r="D14" s="161">
        <f t="shared" si="4"/>
        <v>3703</v>
      </c>
      <c r="E14" s="161">
        <f t="shared" si="4"/>
        <v>3600</v>
      </c>
      <c r="F14" s="161">
        <f t="shared" si="4"/>
        <v>884</v>
      </c>
      <c r="G14" s="161">
        <f t="shared" si="4"/>
        <v>858</v>
      </c>
      <c r="H14" s="161">
        <f t="shared" si="4"/>
        <v>824</v>
      </c>
      <c r="I14" s="161">
        <f aca="true" t="shared" si="5" ref="I14:O14">IF((+I7-I8-I13)=I15+I16,(+I7-I8-I13),"Error")</f>
        <v>814</v>
      </c>
      <c r="J14" s="161">
        <f t="shared" si="5"/>
        <v>3380</v>
      </c>
      <c r="K14" s="161">
        <f t="shared" si="5"/>
        <v>833</v>
      </c>
      <c r="L14" s="161">
        <f t="shared" si="5"/>
        <v>835</v>
      </c>
      <c r="M14" s="161">
        <f t="shared" si="5"/>
        <v>207</v>
      </c>
      <c r="N14" s="161">
        <f t="shared" si="5"/>
        <v>484</v>
      </c>
      <c r="O14" s="161">
        <f t="shared" si="5"/>
        <v>2359</v>
      </c>
      <c r="P14" s="161">
        <f>IF((+P7-P8-P13)=P15+P16,(+P7-P8-P13),"Error")</f>
        <v>606</v>
      </c>
      <c r="Q14" s="161">
        <f>IF((+Q7-Q8-Q13)=Q15+Q16,(+Q7-Q8-Q13),"Error")</f>
        <v>775</v>
      </c>
    </row>
    <row r="15" spans="1:17" s="18" customFormat="1" ht="17.25" customHeight="1">
      <c r="A15" s="7"/>
      <c r="B15" s="154" t="s">
        <v>122</v>
      </c>
      <c r="C15" s="167">
        <f>+WMC!C10</f>
        <v>4189</v>
      </c>
      <c r="D15" s="167">
        <f>+WMC!D10</f>
        <v>2397</v>
      </c>
      <c r="E15" s="167">
        <f>WMC!E10</f>
        <v>2828</v>
      </c>
      <c r="F15" s="167">
        <f>WMC!F10</f>
        <v>667</v>
      </c>
      <c r="G15" s="167">
        <f>WMC!G10</f>
        <v>615</v>
      </c>
      <c r="H15" s="167">
        <f>WMC!H10</f>
        <v>598</v>
      </c>
      <c r="I15" s="167">
        <f>WMC!I10</f>
        <v>594</v>
      </c>
      <c r="J15" s="167">
        <f>WMC!J10</f>
        <v>2474</v>
      </c>
      <c r="K15" s="167">
        <f>WMC!K10</f>
        <v>597</v>
      </c>
      <c r="L15" s="167">
        <f>WMC!L10</f>
        <v>577</v>
      </c>
      <c r="M15" s="167">
        <f>WMC!M10</f>
        <v>-9</v>
      </c>
      <c r="N15" s="167">
        <f>WMC!N10</f>
        <v>299</v>
      </c>
      <c r="O15" s="167">
        <f>WMC!O10</f>
        <v>1464</v>
      </c>
      <c r="P15" s="167">
        <f>WMC!P10</f>
        <v>386</v>
      </c>
      <c r="Q15" s="167">
        <f>WMC!Q10</f>
        <v>551</v>
      </c>
    </row>
    <row r="16" spans="1:17" s="18" customFormat="1" ht="17.25" customHeight="1">
      <c r="A16" s="7"/>
      <c r="B16" s="157" t="s">
        <v>123</v>
      </c>
      <c r="C16" s="165">
        <f>+CIC!C10</f>
        <v>1060</v>
      </c>
      <c r="D16" s="165">
        <f>+CIC!D10</f>
        <v>1306</v>
      </c>
      <c r="E16" s="165">
        <f>CIC!E10</f>
        <v>772</v>
      </c>
      <c r="F16" s="165">
        <f>CIC!F10</f>
        <v>217</v>
      </c>
      <c r="G16" s="165">
        <f>CIC!G10</f>
        <v>243</v>
      </c>
      <c r="H16" s="165">
        <f>CIC!H10</f>
        <v>226</v>
      </c>
      <c r="I16" s="165">
        <f>CIC!I10</f>
        <v>220</v>
      </c>
      <c r="J16" s="165">
        <f>CIC!J10</f>
        <v>906</v>
      </c>
      <c r="K16" s="165">
        <f>CIC!K10</f>
        <v>236</v>
      </c>
      <c r="L16" s="165">
        <f>CIC!L10</f>
        <v>258</v>
      </c>
      <c r="M16" s="165">
        <f>CIC!M10</f>
        <v>216</v>
      </c>
      <c r="N16" s="165">
        <f>CIC!N10</f>
        <v>185</v>
      </c>
      <c r="O16" s="165">
        <f>CIC!O10</f>
        <v>895</v>
      </c>
      <c r="P16" s="165">
        <f>CIC!P10</f>
        <v>220</v>
      </c>
      <c r="Q16" s="165">
        <f>CIC!Q10</f>
        <v>224</v>
      </c>
    </row>
    <row r="17" spans="1:17" ht="17.25" customHeight="1">
      <c r="A17" s="7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7.25" customHeight="1">
      <c r="A18" s="7"/>
      <c r="B18" s="13" t="s">
        <v>104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7.25" customHeight="1">
      <c r="A19" s="7"/>
      <c r="B19" s="30" t="s">
        <v>40</v>
      </c>
      <c r="C19" s="194">
        <f aca="true" t="shared" si="6" ref="C19:H19">+C13/C7*100</f>
        <v>60.5</v>
      </c>
      <c r="D19" s="194">
        <f t="shared" si="6"/>
        <v>69.6</v>
      </c>
      <c r="E19" s="194">
        <f t="shared" si="6"/>
        <v>67.1</v>
      </c>
      <c r="F19" s="194">
        <f t="shared" si="6"/>
        <v>68.4</v>
      </c>
      <c r="G19" s="194">
        <f t="shared" si="6"/>
        <v>70.7</v>
      </c>
      <c r="H19" s="194">
        <f t="shared" si="6"/>
        <v>70.7</v>
      </c>
      <c r="I19" s="194">
        <f aca="true" t="shared" si="7" ref="I19:O19">+I13/I7*100</f>
        <v>71.5</v>
      </c>
      <c r="J19" s="194">
        <f t="shared" si="7"/>
        <v>70.3</v>
      </c>
      <c r="K19" s="194">
        <f t="shared" si="7"/>
        <v>70.2</v>
      </c>
      <c r="L19" s="194">
        <f t="shared" si="7"/>
        <v>69.8</v>
      </c>
      <c r="M19" s="194">
        <f t="shared" si="7"/>
        <v>91.1</v>
      </c>
      <c r="N19" s="194">
        <f t="shared" si="7"/>
        <v>78.1</v>
      </c>
      <c r="O19" s="194">
        <f t="shared" si="7"/>
        <v>77</v>
      </c>
      <c r="P19" s="194">
        <f>+P13/P7*100</f>
        <v>75.2</v>
      </c>
      <c r="Q19" s="194">
        <f>+Q13/Q7*100</f>
        <v>69.9</v>
      </c>
    </row>
    <row r="20" spans="1:17" ht="17.25" customHeight="1" thickBot="1">
      <c r="A20" s="7"/>
      <c r="B20" s="61" t="s">
        <v>41</v>
      </c>
      <c r="C20" s="195">
        <f aca="true" t="shared" si="8" ref="C20:H20">+C14/C7*100</f>
        <v>39.9</v>
      </c>
      <c r="D20" s="195">
        <f t="shared" si="8"/>
        <v>29.3</v>
      </c>
      <c r="E20" s="195">
        <f t="shared" si="8"/>
        <v>31.3</v>
      </c>
      <c r="F20" s="195">
        <f t="shared" si="8"/>
        <v>30.9</v>
      </c>
      <c r="G20" s="195">
        <f t="shared" si="8"/>
        <v>29.2</v>
      </c>
      <c r="H20" s="195">
        <f t="shared" si="8"/>
        <v>29.6</v>
      </c>
      <c r="I20" s="195">
        <f aca="true" t="shared" si="9" ref="I20:O20">+I14/I7*100</f>
        <v>28.4</v>
      </c>
      <c r="J20" s="195">
        <f t="shared" si="9"/>
        <v>29.5</v>
      </c>
      <c r="K20" s="195">
        <f t="shared" si="9"/>
        <v>29.4</v>
      </c>
      <c r="L20" s="195">
        <f t="shared" si="9"/>
        <v>30.3</v>
      </c>
      <c r="M20" s="195">
        <v>8</v>
      </c>
      <c r="N20" s="195">
        <f t="shared" si="9"/>
        <v>18.9</v>
      </c>
      <c r="O20" s="195">
        <f t="shared" si="9"/>
        <v>21.9</v>
      </c>
      <c r="P20" s="195">
        <f>+P14/P7*100</f>
        <v>23.3</v>
      </c>
      <c r="Q20" s="195">
        <f>+Q14/Q7*100</f>
        <v>28.7</v>
      </c>
    </row>
    <row r="21" spans="1:17" ht="17.25" customHeight="1">
      <c r="A21" s="7"/>
      <c r="B21" s="1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" customHeight="1">
      <c r="A22" s="7"/>
      <c r="B22" s="13" t="s">
        <v>60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27" customHeight="1" thickBot="1">
      <c r="A23" s="7"/>
      <c r="B23" s="127" t="s">
        <v>129</v>
      </c>
      <c r="C23" s="333">
        <v>6058</v>
      </c>
      <c r="D23" s="333">
        <v>6219</v>
      </c>
      <c r="E23" s="333">
        <v>6351</v>
      </c>
      <c r="F23" s="333">
        <v>6390</v>
      </c>
      <c r="G23" s="333">
        <v>6803</v>
      </c>
      <c r="H23" s="333">
        <v>7104</v>
      </c>
      <c r="I23" s="333">
        <v>6824</v>
      </c>
      <c r="J23" s="333">
        <v>6720</v>
      </c>
      <c r="K23" s="333">
        <v>6846</v>
      </c>
      <c r="L23" s="333">
        <v>7025</v>
      </c>
      <c r="M23" s="333">
        <v>7091</v>
      </c>
      <c r="N23" s="333">
        <v>7365</v>
      </c>
      <c r="O23" s="333">
        <v>7078</v>
      </c>
      <c r="P23" s="333">
        <v>7374</v>
      </c>
      <c r="Q23" s="333">
        <v>7560</v>
      </c>
    </row>
    <row r="24" spans="1:17" ht="26.25" thickBot="1">
      <c r="A24" s="40"/>
      <c r="B24" s="127" t="s">
        <v>130</v>
      </c>
      <c r="C24" s="303">
        <v>87.3</v>
      </c>
      <c r="D24" s="303">
        <v>60.1</v>
      </c>
      <c r="E24" s="303">
        <v>57.1</v>
      </c>
      <c r="F24" s="303">
        <v>55.8</v>
      </c>
      <c r="G24" s="303">
        <v>50.9</v>
      </c>
      <c r="H24" s="303">
        <v>46.8</v>
      </c>
      <c r="I24" s="303">
        <v>48.1</v>
      </c>
      <c r="J24" s="303">
        <v>50.7</v>
      </c>
      <c r="K24" s="303">
        <v>49.1</v>
      </c>
      <c r="L24" s="303">
        <v>47.9</v>
      </c>
      <c r="M24" s="303">
        <v>12.1</v>
      </c>
      <c r="N24" s="303">
        <v>26.7</v>
      </c>
      <c r="O24" s="303">
        <v>33.7</v>
      </c>
      <c r="P24" s="303">
        <v>33.2</v>
      </c>
      <c r="Q24" s="303">
        <v>41.3</v>
      </c>
    </row>
    <row r="25" spans="1:17" ht="12.75">
      <c r="A25" s="40"/>
      <c r="B25" s="129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</row>
    <row r="26" spans="1:17" ht="15.75" customHeight="1">
      <c r="A26" s="7"/>
      <c r="B26" s="13" t="s">
        <v>61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7.25" customHeight="1" thickBot="1">
      <c r="A27" s="7"/>
      <c r="B27" s="61" t="s">
        <v>62</v>
      </c>
      <c r="C27" s="223">
        <f>+'Core Results'!C40</f>
        <v>22700</v>
      </c>
      <c r="D27" s="223">
        <f>+'Core Results'!D40</f>
        <v>23900</v>
      </c>
      <c r="E27" s="223">
        <f>+'Core Results'!E40</f>
        <v>23800</v>
      </c>
      <c r="F27" s="223">
        <f>+'Core Results'!F40</f>
        <v>24100</v>
      </c>
      <c r="G27" s="223">
        <f>+'Core Results'!G40</f>
        <v>24200</v>
      </c>
      <c r="H27" s="223">
        <f>+'Core Results'!H40</f>
        <v>24800</v>
      </c>
      <c r="I27" s="223">
        <f>+'Core Results'!I40</f>
        <v>24900</v>
      </c>
      <c r="J27" s="223">
        <f>+'Core Results'!J40</f>
        <v>24900</v>
      </c>
      <c r="K27" s="223">
        <f>+'Core Results'!K40</f>
        <v>24900</v>
      </c>
      <c r="L27" s="223">
        <f>+'Core Results'!L40</f>
        <v>24900</v>
      </c>
      <c r="M27" s="223">
        <f>+'Core Results'!M40</f>
        <v>24700</v>
      </c>
      <c r="N27" s="223">
        <f>+'Core Results'!N40</f>
        <v>24500</v>
      </c>
      <c r="O27" s="223">
        <f>+'Core Results'!O40</f>
        <v>24500</v>
      </c>
      <c r="P27" s="223">
        <f>+'Core Results'!P40</f>
        <v>23700</v>
      </c>
      <c r="Q27" s="223">
        <f>+'Core Results'!Q40</f>
        <v>23800</v>
      </c>
    </row>
    <row r="28" spans="1:17" ht="17.25" customHeight="1">
      <c r="A28" s="7"/>
      <c r="B28" s="19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1:17" ht="17.25" customHeight="1">
      <c r="A29" s="7"/>
      <c r="B29" s="13" t="s">
        <v>30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1:17" s="18" customFormat="1" ht="17.25" customHeight="1">
      <c r="A30" s="7"/>
      <c r="B30" s="24" t="s">
        <v>9</v>
      </c>
      <c r="C30" s="163">
        <v>4635</v>
      </c>
      <c r="D30" s="354">
        <v>5096</v>
      </c>
      <c r="E30" s="354">
        <v>4885</v>
      </c>
      <c r="F30" s="163">
        <v>1191</v>
      </c>
      <c r="G30" s="163">
        <v>1239</v>
      </c>
      <c r="H30" s="163">
        <v>1193</v>
      </c>
      <c r="I30" s="163">
        <v>1198</v>
      </c>
      <c r="J30" s="167">
        <f>SUM(F30:I30)</f>
        <v>4821</v>
      </c>
      <c r="K30" s="163">
        <v>1146</v>
      </c>
      <c r="L30" s="163">
        <v>1128</v>
      </c>
      <c r="M30" s="163">
        <v>1082</v>
      </c>
      <c r="N30" s="163">
        <v>1150</v>
      </c>
      <c r="O30" s="167">
        <f>SUM(K30:N30)</f>
        <v>4506</v>
      </c>
      <c r="P30" s="163">
        <v>1126</v>
      </c>
      <c r="Q30" s="163">
        <v>1165</v>
      </c>
    </row>
    <row r="31" spans="1:17" s="18" customFormat="1" ht="17.25" customHeight="1">
      <c r="A31" s="7"/>
      <c r="B31" s="16" t="s">
        <v>161</v>
      </c>
      <c r="C31" s="248">
        <v>5199</v>
      </c>
      <c r="D31" s="356">
        <v>4832</v>
      </c>
      <c r="E31" s="356">
        <v>3906</v>
      </c>
      <c r="F31" s="248">
        <v>1035</v>
      </c>
      <c r="G31" s="248">
        <v>1007</v>
      </c>
      <c r="H31" s="248">
        <v>982</v>
      </c>
      <c r="I31" s="248">
        <v>1000</v>
      </c>
      <c r="J31" s="249">
        <f>SUM(F31:I31)</f>
        <v>4024</v>
      </c>
      <c r="K31" s="248">
        <v>986</v>
      </c>
      <c r="L31" s="248">
        <v>986</v>
      </c>
      <c r="M31" s="248">
        <v>888</v>
      </c>
      <c r="N31" s="248">
        <v>892</v>
      </c>
      <c r="O31" s="249">
        <f>SUM(K31:N31)</f>
        <v>3752</v>
      </c>
      <c r="P31" s="248">
        <v>893</v>
      </c>
      <c r="Q31" s="248">
        <v>924</v>
      </c>
    </row>
    <row r="32" spans="1:17" s="18" customFormat="1" ht="17.25" customHeight="1">
      <c r="A32" s="7"/>
      <c r="B32" s="29" t="s">
        <v>3</v>
      </c>
      <c r="C32" s="164">
        <v>3305</v>
      </c>
      <c r="D32" s="355">
        <v>2700</v>
      </c>
      <c r="E32" s="355">
        <v>2713</v>
      </c>
      <c r="F32" s="164">
        <v>635</v>
      </c>
      <c r="G32" s="164">
        <v>696</v>
      </c>
      <c r="H32" s="164">
        <v>608</v>
      </c>
      <c r="I32" s="164">
        <v>673</v>
      </c>
      <c r="J32" s="165">
        <f>SUM(F32:I32)</f>
        <v>2612</v>
      </c>
      <c r="K32" s="164">
        <v>706</v>
      </c>
      <c r="L32" s="164">
        <v>640</v>
      </c>
      <c r="M32" s="164">
        <v>630</v>
      </c>
      <c r="N32" s="164">
        <v>514</v>
      </c>
      <c r="O32" s="165">
        <f>SUM(K32:N32)</f>
        <v>2490</v>
      </c>
      <c r="P32" s="164">
        <v>585</v>
      </c>
      <c r="Q32" s="164">
        <v>615</v>
      </c>
    </row>
    <row r="33" spans="1:17" s="18" customFormat="1" ht="17.25" customHeight="1" thickBot="1">
      <c r="A33" s="7"/>
      <c r="B33" s="36" t="s">
        <v>13</v>
      </c>
      <c r="C33" s="170">
        <f aca="true" t="shared" si="10" ref="C33:N33">IF((+C30+C31+C32)=(C7),(+C30+C31+C32),"Error")</f>
        <v>13139</v>
      </c>
      <c r="D33" s="170">
        <f>IF((+D30+D31+D32)=(D7),(+D30+D31+D32),"Error")</f>
        <v>12628</v>
      </c>
      <c r="E33" s="170">
        <f t="shared" si="10"/>
        <v>11504</v>
      </c>
      <c r="F33" s="170">
        <f>IF((+F30+F31+F32)=(F7),(+F30+F31+F32),"Error")</f>
        <v>2861</v>
      </c>
      <c r="G33" s="170">
        <f t="shared" si="10"/>
        <v>2942</v>
      </c>
      <c r="H33" s="170">
        <f t="shared" si="10"/>
        <v>2783</v>
      </c>
      <c r="I33" s="170">
        <f t="shared" si="10"/>
        <v>2871</v>
      </c>
      <c r="J33" s="170">
        <f t="shared" si="10"/>
        <v>11457</v>
      </c>
      <c r="K33" s="170">
        <f t="shared" si="10"/>
        <v>2838</v>
      </c>
      <c r="L33" s="170">
        <f t="shared" si="10"/>
        <v>2754</v>
      </c>
      <c r="M33" s="170">
        <f t="shared" si="10"/>
        <v>2600</v>
      </c>
      <c r="N33" s="170">
        <f t="shared" si="10"/>
        <v>2556</v>
      </c>
      <c r="O33" s="170">
        <f>IF((+O30+O31+O32)=(O7),(+O30+O31+O32),"Error")</f>
        <v>10748</v>
      </c>
      <c r="P33" s="170">
        <f>IF((+P30+P31+P32)=(P7),(+P30+P31+P32),"Error")</f>
        <v>2604</v>
      </c>
      <c r="Q33" s="170">
        <f>IF((+Q30+Q31+Q32)=(Q7),(+Q30+Q31+Q32),"Error")</f>
        <v>2704</v>
      </c>
    </row>
    <row r="34" spans="1:17" s="18" customFormat="1" ht="17.25" customHeight="1">
      <c r="A34" s="7"/>
      <c r="B34" s="35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</row>
    <row r="35" spans="1:17" ht="17.25" customHeight="1">
      <c r="A35" s="7"/>
      <c r="B35" s="13" t="s">
        <v>128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</row>
    <row r="36" spans="1:17" s="18" customFormat="1" ht="17.25" customHeight="1">
      <c r="A36" s="7"/>
      <c r="B36" s="24" t="s">
        <v>132</v>
      </c>
      <c r="C36" s="163">
        <v>175</v>
      </c>
      <c r="D36" s="354">
        <v>288</v>
      </c>
      <c r="E36" s="354">
        <v>419</v>
      </c>
      <c r="F36" s="163">
        <v>75</v>
      </c>
      <c r="G36" s="163">
        <v>90</v>
      </c>
      <c r="H36" s="163">
        <v>47</v>
      </c>
      <c r="I36" s="163">
        <v>77</v>
      </c>
      <c r="J36" s="168">
        <f>SUM(F36:I36)</f>
        <v>289</v>
      </c>
      <c r="K36" s="163">
        <v>41</v>
      </c>
      <c r="L36" s="163">
        <v>54</v>
      </c>
      <c r="M36" s="163">
        <v>55</v>
      </c>
      <c r="N36" s="163">
        <v>126</v>
      </c>
      <c r="O36" s="168">
        <f>SUM(K36:N36)</f>
        <v>276</v>
      </c>
      <c r="P36" s="163">
        <v>81</v>
      </c>
      <c r="Q36" s="163">
        <v>68</v>
      </c>
    </row>
    <row r="37" spans="1:17" s="18" customFormat="1" ht="17.25" customHeight="1">
      <c r="A37" s="7"/>
      <c r="B37" s="29" t="s">
        <v>133</v>
      </c>
      <c r="C37" s="164">
        <v>-234</v>
      </c>
      <c r="D37" s="355">
        <v>-155</v>
      </c>
      <c r="E37" s="355">
        <v>-239</v>
      </c>
      <c r="F37" s="164">
        <v>-56</v>
      </c>
      <c r="G37" s="164">
        <v>-87</v>
      </c>
      <c r="H37" s="164">
        <v>-55</v>
      </c>
      <c r="I37" s="164">
        <v>-73</v>
      </c>
      <c r="J37" s="169">
        <f>SUM(F37:I37)</f>
        <v>-271</v>
      </c>
      <c r="K37" s="164">
        <v>-29</v>
      </c>
      <c r="L37" s="164">
        <v>-56</v>
      </c>
      <c r="M37" s="164">
        <v>-30</v>
      </c>
      <c r="N37" s="164">
        <v>-51</v>
      </c>
      <c r="O37" s="169">
        <f>SUM(K37:N37)</f>
        <v>-166</v>
      </c>
      <c r="P37" s="164">
        <v>-41</v>
      </c>
      <c r="Q37" s="164">
        <v>-29</v>
      </c>
    </row>
    <row r="38" spans="1:17" s="18" customFormat="1" ht="17.25" customHeight="1" thickBot="1">
      <c r="A38" s="7"/>
      <c r="B38" s="36" t="s">
        <v>14</v>
      </c>
      <c r="C38" s="170">
        <f aca="true" t="shared" si="11" ref="C38:N38">IF((SUM(C36:C37))=C8,(SUM(C36:C37)),"Error")</f>
        <v>-59</v>
      </c>
      <c r="D38" s="170">
        <f t="shared" si="11"/>
        <v>133</v>
      </c>
      <c r="E38" s="170">
        <f t="shared" si="11"/>
        <v>180</v>
      </c>
      <c r="F38" s="170">
        <f t="shared" si="11"/>
        <v>19</v>
      </c>
      <c r="G38" s="170">
        <f t="shared" si="11"/>
        <v>3</v>
      </c>
      <c r="H38" s="170">
        <f t="shared" si="11"/>
        <v>-8</v>
      </c>
      <c r="I38" s="170">
        <f t="shared" si="11"/>
        <v>4</v>
      </c>
      <c r="J38" s="170">
        <f t="shared" si="11"/>
        <v>18</v>
      </c>
      <c r="K38" s="170">
        <f t="shared" si="11"/>
        <v>12</v>
      </c>
      <c r="L38" s="170">
        <f t="shared" si="11"/>
        <v>-2</v>
      </c>
      <c r="M38" s="170">
        <f t="shared" si="11"/>
        <v>25</v>
      </c>
      <c r="N38" s="170">
        <f t="shared" si="11"/>
        <v>75</v>
      </c>
      <c r="O38" s="170">
        <f>IF((SUM(O36:O37))=O8,(SUM(O36:O37)),"Error")</f>
        <v>110</v>
      </c>
      <c r="P38" s="170">
        <f>IF((SUM(P36:P37))=P8,(SUM(P36:P37)),"Error")</f>
        <v>40</v>
      </c>
      <c r="Q38" s="170">
        <f>IF((SUM(Q36:Q37))=Q8,(SUM(Q36:Q37)),"Error")</f>
        <v>39</v>
      </c>
    </row>
    <row r="39" spans="1:17" s="18" customFormat="1" ht="17.25" customHeight="1">
      <c r="A39" s="7"/>
      <c r="B39" s="35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</row>
    <row r="40" spans="1:17" ht="17.25" customHeight="1">
      <c r="A40" s="7"/>
      <c r="B40" s="13" t="s">
        <v>43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</row>
    <row r="41" spans="1:17" ht="17.25" customHeight="1">
      <c r="A41" s="7"/>
      <c r="B41" s="30" t="s">
        <v>44</v>
      </c>
      <c r="C41" s="357" t="s">
        <v>194</v>
      </c>
      <c r="D41" s="357" t="s">
        <v>194</v>
      </c>
      <c r="E41" s="357">
        <v>342296</v>
      </c>
      <c r="F41" s="166">
        <v>340819</v>
      </c>
      <c r="G41" s="166">
        <v>346740</v>
      </c>
      <c r="H41" s="166">
        <v>347883</v>
      </c>
      <c r="I41" s="166">
        <v>334450</v>
      </c>
      <c r="J41" s="173">
        <f>+I41</f>
        <v>334450</v>
      </c>
      <c r="K41" s="166">
        <v>338206</v>
      </c>
      <c r="L41" s="166">
        <v>332474</v>
      </c>
      <c r="M41" s="166">
        <v>346744</v>
      </c>
      <c r="N41" s="166">
        <v>347476</v>
      </c>
      <c r="O41" s="173">
        <f>+N41</f>
        <v>347476</v>
      </c>
      <c r="P41" s="166">
        <v>351064</v>
      </c>
      <c r="Q41" s="166">
        <v>366609</v>
      </c>
    </row>
    <row r="42" spans="1:17" ht="17.25" customHeight="1">
      <c r="A42" s="7"/>
      <c r="B42" s="97" t="s">
        <v>45</v>
      </c>
      <c r="C42" s="174">
        <f>+C43+C44</f>
        <v>175506</v>
      </c>
      <c r="D42" s="174">
        <f>+D43+D44</f>
        <v>174904</v>
      </c>
      <c r="E42" s="174">
        <f>+E43+E44</f>
        <v>176009</v>
      </c>
      <c r="F42" s="174">
        <f>+F43+F44</f>
        <v>178731</v>
      </c>
      <c r="G42" s="174">
        <f aca="true" t="shared" si="12" ref="G42:L42">+G43+G44</f>
        <v>182397</v>
      </c>
      <c r="H42" s="174">
        <f t="shared" si="12"/>
        <v>183015</v>
      </c>
      <c r="I42" s="174">
        <f t="shared" si="12"/>
        <v>182880</v>
      </c>
      <c r="J42" s="174">
        <f t="shared" si="12"/>
        <v>182880</v>
      </c>
      <c r="K42" s="174">
        <f t="shared" si="12"/>
        <v>185795</v>
      </c>
      <c r="L42" s="174">
        <f t="shared" si="12"/>
        <v>186691</v>
      </c>
      <c r="M42" s="174">
        <f>+M43+M44</f>
        <v>192177</v>
      </c>
      <c r="N42" s="174">
        <f>+N43+N44</f>
        <v>196268</v>
      </c>
      <c r="O42" s="174">
        <f>+O43+O44</f>
        <v>196268</v>
      </c>
      <c r="P42" s="174">
        <f>+P43+P44</f>
        <v>197566</v>
      </c>
      <c r="Q42" s="174">
        <f>+Q43+Q44</f>
        <v>202445</v>
      </c>
    </row>
    <row r="43" spans="1:17" s="18" customFormat="1" ht="17.25" customHeight="1">
      <c r="A43" s="7"/>
      <c r="B43" s="156" t="s">
        <v>122</v>
      </c>
      <c r="C43" s="244">
        <v>128153</v>
      </c>
      <c r="D43" s="358">
        <v>123796</v>
      </c>
      <c r="E43" s="358">
        <v>125671</v>
      </c>
      <c r="F43" s="244">
        <v>127752</v>
      </c>
      <c r="G43" s="244">
        <v>130881</v>
      </c>
      <c r="H43" s="244">
        <v>132744</v>
      </c>
      <c r="I43" s="244">
        <v>130435</v>
      </c>
      <c r="J43" s="245">
        <v>130435</v>
      </c>
      <c r="K43" s="244">
        <v>133466</v>
      </c>
      <c r="L43" s="244">
        <v>134160</v>
      </c>
      <c r="M43" s="244">
        <v>138175</v>
      </c>
      <c r="N43" s="244">
        <v>139725</v>
      </c>
      <c r="O43" s="245">
        <v>139725</v>
      </c>
      <c r="P43" s="244">
        <v>140321</v>
      </c>
      <c r="Q43" s="244">
        <v>143559</v>
      </c>
    </row>
    <row r="44" spans="1:17" s="18" customFormat="1" ht="17.25" customHeight="1">
      <c r="A44" s="7"/>
      <c r="B44" s="154" t="s">
        <v>123</v>
      </c>
      <c r="C44" s="164">
        <v>47353</v>
      </c>
      <c r="D44" s="355">
        <v>51108</v>
      </c>
      <c r="E44" s="355">
        <v>50338</v>
      </c>
      <c r="F44" s="164">
        <v>50979</v>
      </c>
      <c r="G44" s="164">
        <v>51516</v>
      </c>
      <c r="H44" s="164">
        <v>50271</v>
      </c>
      <c r="I44" s="164">
        <v>52445</v>
      </c>
      <c r="J44" s="165">
        <v>52445</v>
      </c>
      <c r="K44" s="164">
        <v>52329</v>
      </c>
      <c r="L44" s="164">
        <v>52531</v>
      </c>
      <c r="M44" s="164">
        <v>54002</v>
      </c>
      <c r="N44" s="164">
        <v>56543</v>
      </c>
      <c r="O44" s="165">
        <v>56543</v>
      </c>
      <c r="P44" s="164">
        <v>57245</v>
      </c>
      <c r="Q44" s="164">
        <v>58886</v>
      </c>
    </row>
    <row r="45" spans="1:17" ht="17.25" customHeight="1">
      <c r="A45" s="7"/>
      <c r="B45" s="97" t="s">
        <v>118</v>
      </c>
      <c r="C45" s="174">
        <f>+C46+C47</f>
        <v>242052</v>
      </c>
      <c r="D45" s="174">
        <f>+D46+D47</f>
        <v>246787</v>
      </c>
      <c r="E45" s="174">
        <f>+E46+E47</f>
        <v>257650</v>
      </c>
      <c r="F45" s="174">
        <f>+F46+F47</f>
        <v>256290</v>
      </c>
      <c r="G45" s="174">
        <f>+G46+G47</f>
        <v>260736</v>
      </c>
      <c r="H45" s="174">
        <v>258135</v>
      </c>
      <c r="I45" s="174">
        <f aca="true" t="shared" si="13" ref="I45:O45">+I46+I47</f>
        <v>245108</v>
      </c>
      <c r="J45" s="174">
        <f t="shared" si="13"/>
        <v>245108</v>
      </c>
      <c r="K45" s="174">
        <f t="shared" si="13"/>
        <v>253486</v>
      </c>
      <c r="L45" s="174">
        <f t="shared" si="13"/>
        <v>249984</v>
      </c>
      <c r="M45" s="174">
        <f t="shared" si="13"/>
        <v>260988</v>
      </c>
      <c r="N45" s="174">
        <f t="shared" si="13"/>
        <v>262985</v>
      </c>
      <c r="O45" s="174">
        <f t="shared" si="13"/>
        <v>262985</v>
      </c>
      <c r="P45" s="174">
        <f>+P46+P47</f>
        <v>262689</v>
      </c>
      <c r="Q45" s="174">
        <f>+Q46+Q47</f>
        <v>272561</v>
      </c>
    </row>
    <row r="46" spans="1:17" s="18" customFormat="1" ht="17.25" customHeight="1">
      <c r="A46" s="7"/>
      <c r="B46" s="156" t="s">
        <v>122</v>
      </c>
      <c r="C46" s="244">
        <v>197314</v>
      </c>
      <c r="D46" s="358">
        <v>203675</v>
      </c>
      <c r="E46" s="358">
        <v>210718</v>
      </c>
      <c r="F46" s="244">
        <v>207115</v>
      </c>
      <c r="G46" s="244">
        <v>210918</v>
      </c>
      <c r="H46" s="244">
        <v>207078</v>
      </c>
      <c r="I46" s="244">
        <v>194013</v>
      </c>
      <c r="J46" s="245">
        <v>194013</v>
      </c>
      <c r="K46" s="244">
        <v>197803</v>
      </c>
      <c r="L46" s="244">
        <v>193729</v>
      </c>
      <c r="M46" s="244">
        <v>201179</v>
      </c>
      <c r="N46" s="244">
        <v>203350</v>
      </c>
      <c r="O46" s="245">
        <v>203350</v>
      </c>
      <c r="P46" s="244">
        <v>203857</v>
      </c>
      <c r="Q46" s="244">
        <v>212566</v>
      </c>
    </row>
    <row r="47" spans="1:17" s="18" customFormat="1" ht="17.25" customHeight="1">
      <c r="A47" s="7"/>
      <c r="B47" s="154" t="s">
        <v>123</v>
      </c>
      <c r="C47" s="164">
        <v>44738</v>
      </c>
      <c r="D47" s="355">
        <v>43112</v>
      </c>
      <c r="E47" s="355">
        <v>46932</v>
      </c>
      <c r="F47" s="164">
        <v>49175</v>
      </c>
      <c r="G47" s="164">
        <v>49818</v>
      </c>
      <c r="H47" s="164">
        <v>51057</v>
      </c>
      <c r="I47" s="164">
        <v>51095</v>
      </c>
      <c r="J47" s="165">
        <v>51095</v>
      </c>
      <c r="K47" s="164">
        <v>55683</v>
      </c>
      <c r="L47" s="164">
        <v>56255</v>
      </c>
      <c r="M47" s="164">
        <v>59809</v>
      </c>
      <c r="N47" s="164">
        <v>59635</v>
      </c>
      <c r="O47" s="165">
        <v>59635</v>
      </c>
      <c r="P47" s="164">
        <v>58832</v>
      </c>
      <c r="Q47" s="164">
        <v>59995</v>
      </c>
    </row>
    <row r="48" spans="1:17" ht="17.25" customHeight="1" thickBot="1">
      <c r="A48" s="7"/>
      <c r="B48" s="61" t="s">
        <v>46</v>
      </c>
      <c r="C48" s="175">
        <v>975</v>
      </c>
      <c r="D48" s="359">
        <v>765</v>
      </c>
      <c r="E48" s="359">
        <v>789</v>
      </c>
      <c r="F48" s="175">
        <v>785</v>
      </c>
      <c r="G48" s="175">
        <v>789</v>
      </c>
      <c r="H48" s="175">
        <v>765</v>
      </c>
      <c r="I48" s="175">
        <v>749</v>
      </c>
      <c r="J48" s="176">
        <f>+I48</f>
        <v>749</v>
      </c>
      <c r="K48" s="175">
        <v>749</v>
      </c>
      <c r="L48" s="175">
        <v>724</v>
      </c>
      <c r="M48" s="175">
        <v>733</v>
      </c>
      <c r="N48" s="175">
        <v>743</v>
      </c>
      <c r="O48" s="176">
        <f>+N48</f>
        <v>743</v>
      </c>
      <c r="P48" s="175">
        <v>735</v>
      </c>
      <c r="Q48" s="175">
        <v>781</v>
      </c>
    </row>
    <row r="49" spans="1:17" ht="17.25" customHeight="1">
      <c r="A49" s="7"/>
      <c r="B49" s="19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</row>
    <row r="50" spans="1:17" ht="17.25" customHeight="1">
      <c r="A50" s="7"/>
      <c r="B50" s="13" t="s">
        <v>5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</row>
    <row r="51" spans="1:17" ht="17.25" customHeight="1">
      <c r="A51" s="7"/>
      <c r="B51" s="14" t="s">
        <v>70</v>
      </c>
      <c r="C51" s="178">
        <v>1720</v>
      </c>
      <c r="D51" s="360">
        <v>1760</v>
      </c>
      <c r="E51" s="360">
        <v>1780</v>
      </c>
      <c r="F51" s="178">
        <v>1690</v>
      </c>
      <c r="G51" s="178">
        <v>1670</v>
      </c>
      <c r="H51" s="178">
        <v>1680</v>
      </c>
      <c r="I51" s="178">
        <v>1680</v>
      </c>
      <c r="J51" s="179">
        <f aca="true" t="shared" si="14" ref="J51:J56">+I51</f>
        <v>1680</v>
      </c>
      <c r="K51" s="178">
        <v>1810</v>
      </c>
      <c r="L51" s="178">
        <v>1780</v>
      </c>
      <c r="M51" s="178">
        <v>1740</v>
      </c>
      <c r="N51" s="178">
        <v>1730</v>
      </c>
      <c r="O51" s="179">
        <f aca="true" t="shared" si="15" ref="O51:O56">+N51</f>
        <v>1730</v>
      </c>
      <c r="P51" s="178">
        <v>1560</v>
      </c>
      <c r="Q51" s="178">
        <v>1630</v>
      </c>
    </row>
    <row r="52" spans="1:17" s="18" customFormat="1" ht="17.25" customHeight="1">
      <c r="A52" s="7"/>
      <c r="B52" s="16" t="s">
        <v>72</v>
      </c>
      <c r="C52" s="180">
        <v>1270</v>
      </c>
      <c r="D52" s="356">
        <v>1380</v>
      </c>
      <c r="E52" s="356">
        <v>1320</v>
      </c>
      <c r="F52" s="180">
        <v>1440</v>
      </c>
      <c r="G52" s="180">
        <v>1460</v>
      </c>
      <c r="H52" s="180">
        <v>1490</v>
      </c>
      <c r="I52" s="180">
        <v>1500</v>
      </c>
      <c r="J52" s="181">
        <f t="shared" si="14"/>
        <v>1500</v>
      </c>
      <c r="K52" s="180">
        <v>1390</v>
      </c>
      <c r="L52" s="180">
        <v>1390</v>
      </c>
      <c r="M52" s="180">
        <v>1360</v>
      </c>
      <c r="N52" s="180">
        <v>1320</v>
      </c>
      <c r="O52" s="181">
        <f t="shared" si="15"/>
        <v>1320</v>
      </c>
      <c r="P52" s="180">
        <v>1380</v>
      </c>
      <c r="Q52" s="180">
        <v>1340</v>
      </c>
    </row>
    <row r="53" spans="1:17" s="18" customFormat="1" ht="17.25" customHeight="1">
      <c r="A53" s="7"/>
      <c r="B53" s="16" t="s">
        <v>71</v>
      </c>
      <c r="C53" s="180">
        <v>490</v>
      </c>
      <c r="D53" s="356">
        <v>590</v>
      </c>
      <c r="E53" s="356">
        <v>590</v>
      </c>
      <c r="F53" s="180">
        <v>580</v>
      </c>
      <c r="G53" s="180">
        <v>600</v>
      </c>
      <c r="H53" s="180">
        <v>610</v>
      </c>
      <c r="I53" s="180">
        <v>610</v>
      </c>
      <c r="J53" s="181">
        <f t="shared" si="14"/>
        <v>610</v>
      </c>
      <c r="K53" s="180">
        <v>600</v>
      </c>
      <c r="L53" s="180">
        <v>620</v>
      </c>
      <c r="M53" s="180">
        <v>610</v>
      </c>
      <c r="N53" s="180">
        <v>590</v>
      </c>
      <c r="O53" s="181">
        <f t="shared" si="15"/>
        <v>590</v>
      </c>
      <c r="P53" s="180">
        <v>600</v>
      </c>
      <c r="Q53" s="180">
        <v>600</v>
      </c>
    </row>
    <row r="54" spans="1:17" s="18" customFormat="1" ht="17.25" customHeight="1">
      <c r="A54" s="7"/>
      <c r="B54" s="19" t="s">
        <v>73</v>
      </c>
      <c r="C54" s="182">
        <v>380</v>
      </c>
      <c r="D54" s="361">
        <v>450</v>
      </c>
      <c r="E54" s="361">
        <v>390</v>
      </c>
      <c r="F54" s="182">
        <v>390</v>
      </c>
      <c r="G54" s="182">
        <v>390</v>
      </c>
      <c r="H54" s="182">
        <v>400</v>
      </c>
      <c r="I54" s="182">
        <v>400</v>
      </c>
      <c r="J54" s="177">
        <f t="shared" si="14"/>
        <v>400</v>
      </c>
      <c r="K54" s="182">
        <v>400</v>
      </c>
      <c r="L54" s="182">
        <v>420</v>
      </c>
      <c r="M54" s="182">
        <v>410</v>
      </c>
      <c r="N54" s="182">
        <v>400</v>
      </c>
      <c r="O54" s="177">
        <f t="shared" si="15"/>
        <v>400</v>
      </c>
      <c r="P54" s="182">
        <v>390</v>
      </c>
      <c r="Q54" s="182">
        <v>390</v>
      </c>
    </row>
    <row r="55" spans="1:17" ht="17.25" customHeight="1">
      <c r="A55" s="7"/>
      <c r="B55" s="30" t="s">
        <v>124</v>
      </c>
      <c r="C55" s="183">
        <f aca="true" t="shared" si="16" ref="C55:I55">SUM(C51:C54)</f>
        <v>3860</v>
      </c>
      <c r="D55" s="183">
        <f t="shared" si="16"/>
        <v>4180</v>
      </c>
      <c r="E55" s="183">
        <f t="shared" si="16"/>
        <v>4080</v>
      </c>
      <c r="F55" s="183">
        <f t="shared" si="16"/>
        <v>4100</v>
      </c>
      <c r="G55" s="183">
        <f t="shared" si="16"/>
        <v>4120</v>
      </c>
      <c r="H55" s="183">
        <f t="shared" si="16"/>
        <v>4180</v>
      </c>
      <c r="I55" s="183">
        <f t="shared" si="16"/>
        <v>4190</v>
      </c>
      <c r="J55" s="183">
        <f t="shared" si="14"/>
        <v>4190</v>
      </c>
      <c r="K55" s="183">
        <f>SUM(K51:K54)</f>
        <v>4200</v>
      </c>
      <c r="L55" s="183">
        <f>SUM(L51:L54)</f>
        <v>4210</v>
      </c>
      <c r="M55" s="183">
        <f>SUM(M51:M54)</f>
        <v>4120</v>
      </c>
      <c r="N55" s="183">
        <f>SUM(N51:N54)</f>
        <v>4040</v>
      </c>
      <c r="O55" s="183">
        <f t="shared" si="15"/>
        <v>4040</v>
      </c>
      <c r="P55" s="183">
        <f>SUM(P51:P54)</f>
        <v>3930</v>
      </c>
      <c r="Q55" s="183">
        <f>SUM(Q51:Q54)</f>
        <v>3960</v>
      </c>
    </row>
    <row r="56" spans="1:17" ht="17.25" customHeight="1">
      <c r="A56" s="7"/>
      <c r="B56" s="29" t="s">
        <v>125</v>
      </c>
      <c r="C56" s="164">
        <v>460</v>
      </c>
      <c r="D56" s="355">
        <v>490</v>
      </c>
      <c r="E56" s="355">
        <v>490</v>
      </c>
      <c r="F56" s="164">
        <v>500</v>
      </c>
      <c r="G56" s="164">
        <v>490</v>
      </c>
      <c r="H56" s="164">
        <v>500</v>
      </c>
      <c r="I56" s="164">
        <v>500</v>
      </c>
      <c r="J56" s="169">
        <f t="shared" si="14"/>
        <v>500</v>
      </c>
      <c r="K56" s="164">
        <v>490</v>
      </c>
      <c r="L56" s="164">
        <v>500</v>
      </c>
      <c r="M56" s="164">
        <v>500</v>
      </c>
      <c r="N56" s="164">
        <v>520</v>
      </c>
      <c r="O56" s="169">
        <f t="shared" si="15"/>
        <v>520</v>
      </c>
      <c r="P56" s="164">
        <v>540</v>
      </c>
      <c r="Q56" s="164">
        <v>550</v>
      </c>
    </row>
    <row r="57" spans="1:17" ht="17.25" customHeight="1" thickBot="1">
      <c r="A57" s="7"/>
      <c r="B57" s="36" t="s">
        <v>5</v>
      </c>
      <c r="C57" s="170">
        <f aca="true" t="shared" si="17" ref="C57:H57">+C55+C56</f>
        <v>4320</v>
      </c>
      <c r="D57" s="170">
        <f t="shared" si="17"/>
        <v>4670</v>
      </c>
      <c r="E57" s="170">
        <f t="shared" si="17"/>
        <v>4570</v>
      </c>
      <c r="F57" s="170">
        <f t="shared" si="17"/>
        <v>4600</v>
      </c>
      <c r="G57" s="170">
        <f t="shared" si="17"/>
        <v>4610</v>
      </c>
      <c r="H57" s="170">
        <f t="shared" si="17"/>
        <v>4680</v>
      </c>
      <c r="I57" s="170">
        <f aca="true" t="shared" si="18" ref="I57:O57">+I55+I56</f>
        <v>4690</v>
      </c>
      <c r="J57" s="170">
        <f t="shared" si="18"/>
        <v>4690</v>
      </c>
      <c r="K57" s="170">
        <f t="shared" si="18"/>
        <v>4690</v>
      </c>
      <c r="L57" s="170">
        <f t="shared" si="18"/>
        <v>4710</v>
      </c>
      <c r="M57" s="170">
        <f t="shared" si="18"/>
        <v>4620</v>
      </c>
      <c r="N57" s="170">
        <f t="shared" si="18"/>
        <v>4560</v>
      </c>
      <c r="O57" s="170">
        <f t="shared" si="18"/>
        <v>4560</v>
      </c>
      <c r="P57" s="170">
        <f>+P55+P56</f>
        <v>4470</v>
      </c>
      <c r="Q57" s="170">
        <f>+Q55+Q56</f>
        <v>4510</v>
      </c>
    </row>
    <row r="58" spans="1:17" ht="17.25" customHeight="1">
      <c r="A58" s="7"/>
      <c r="B58" s="35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17.2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</row>
    <row r="60" spans="1:17" ht="17.25" customHeight="1">
      <c r="A60" s="351"/>
      <c r="B60" s="7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</row>
    <row r="61" spans="1:17" s="18" customFormat="1" ht="17.25" customHeight="1">
      <c r="A61" s="231"/>
      <c r="B61" s="350" t="s">
        <v>204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71" ht="11.25" customHeight="1"/>
    <row r="79" ht="13.5" customHeight="1"/>
    <row r="95" ht="11.25" customHeight="1"/>
  </sheetData>
  <sheetProtection/>
  <mergeCells count="1">
    <mergeCell ref="B1:B2"/>
  </mergeCells>
  <conditionalFormatting sqref="C13:O14 C33:O33 C38:O38">
    <cfRule type="cellIs" priority="3" dxfId="0" operator="equal" stopIfTrue="1">
      <formula>"Error"</formula>
    </cfRule>
  </conditionalFormatting>
  <conditionalFormatting sqref="P38 P33 P13:P14">
    <cfRule type="cellIs" priority="2" dxfId="0" operator="equal" stopIfTrue="1">
      <formula>"Error"</formula>
    </cfRule>
  </conditionalFormatting>
  <conditionalFormatting sqref="Q38 Q33 Q13:Q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5" r:id="rId1"/>
  <headerFooter alignWithMargins="0">
    <oddFooter>&amp;C&amp;A</oddFooter>
  </headerFooter>
  <rowBreaks count="1" manualBreakCount="1">
    <brk id="48" max="16" man="1"/>
  </rowBreaks>
  <ignoredErrors>
    <ignoredError sqref="J32 D4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3" width="11.57421875" style="1" customWidth="1"/>
    <col min="24" max="16384" width="1.7109375" style="1" customWidth="1"/>
  </cols>
  <sheetData>
    <row r="1" spans="1:17" ht="19.5" customHeight="1">
      <c r="A1" s="2"/>
      <c r="B1" s="436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ht="17.25" customHeight="1">
      <c r="A3" s="7"/>
      <c r="B3" s="158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7.25" customHeight="1" thickBot="1">
      <c r="A4" s="7"/>
      <c r="B4" s="9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7.25" customHeight="1">
      <c r="A6" s="7"/>
      <c r="B6" s="81" t="s">
        <v>79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7.25" customHeight="1">
      <c r="A7" s="7"/>
      <c r="B7" s="73" t="s">
        <v>70</v>
      </c>
      <c r="C7" s="196">
        <v>363.8</v>
      </c>
      <c r="D7" s="362">
        <v>279.9</v>
      </c>
      <c r="E7" s="362">
        <v>308.2</v>
      </c>
      <c r="F7" s="196">
        <v>317.1</v>
      </c>
      <c r="G7" s="196">
        <v>305.6</v>
      </c>
      <c r="H7" s="196">
        <v>307.6</v>
      </c>
      <c r="I7" s="196">
        <v>301.9</v>
      </c>
      <c r="J7" s="197">
        <f aca="true" t="shared" si="0" ref="J7:J13">+I7</f>
        <v>301.9</v>
      </c>
      <c r="K7" s="196">
        <v>269.8</v>
      </c>
      <c r="L7" s="196">
        <v>261.8</v>
      </c>
      <c r="M7" s="196">
        <v>250.3</v>
      </c>
      <c r="N7" s="196">
        <v>253.7</v>
      </c>
      <c r="O7" s="197">
        <f aca="true" t="shared" si="1" ref="O7:O13">+N7</f>
        <v>253.7</v>
      </c>
      <c r="P7" s="196">
        <v>252.9</v>
      </c>
      <c r="Q7" s="196">
        <v>251.3</v>
      </c>
    </row>
    <row r="8" spans="1:17" ht="17.25" customHeight="1">
      <c r="A8" s="7"/>
      <c r="B8" s="75" t="s">
        <v>72</v>
      </c>
      <c r="C8" s="198">
        <v>299</v>
      </c>
      <c r="D8" s="363">
        <v>229.4</v>
      </c>
      <c r="E8" s="363">
        <v>257.4</v>
      </c>
      <c r="F8" s="198">
        <v>256.6</v>
      </c>
      <c r="G8" s="198">
        <v>248.9</v>
      </c>
      <c r="H8" s="198">
        <v>250.6</v>
      </c>
      <c r="I8" s="198">
        <v>247</v>
      </c>
      <c r="J8" s="199">
        <f t="shared" si="0"/>
        <v>247</v>
      </c>
      <c r="K8" s="198">
        <v>279.4</v>
      </c>
      <c r="L8" s="198">
        <v>263.8</v>
      </c>
      <c r="M8" s="198">
        <v>255.6</v>
      </c>
      <c r="N8" s="198">
        <v>265.1</v>
      </c>
      <c r="O8" s="199">
        <f t="shared" si="1"/>
        <v>265.1</v>
      </c>
      <c r="P8" s="198">
        <v>273.2</v>
      </c>
      <c r="Q8" s="198">
        <v>271.3</v>
      </c>
    </row>
    <row r="9" spans="1:17" ht="17.25" customHeight="1">
      <c r="A9" s="7"/>
      <c r="B9" s="75" t="s">
        <v>71</v>
      </c>
      <c r="C9" s="198">
        <v>123.7</v>
      </c>
      <c r="D9" s="363">
        <v>102.7</v>
      </c>
      <c r="E9" s="363">
        <v>126.4</v>
      </c>
      <c r="F9" s="198">
        <v>132.4</v>
      </c>
      <c r="G9" s="198">
        <v>132.4</v>
      </c>
      <c r="H9" s="198">
        <v>131.9</v>
      </c>
      <c r="I9" s="198">
        <v>135.7</v>
      </c>
      <c r="J9" s="199">
        <f t="shared" si="0"/>
        <v>135.7</v>
      </c>
      <c r="K9" s="198">
        <v>142.9</v>
      </c>
      <c r="L9" s="198">
        <v>135</v>
      </c>
      <c r="M9" s="198">
        <v>133.6</v>
      </c>
      <c r="N9" s="198">
        <v>143.5</v>
      </c>
      <c r="O9" s="199">
        <f t="shared" si="1"/>
        <v>143.5</v>
      </c>
      <c r="P9" s="198">
        <v>153.1</v>
      </c>
      <c r="Q9" s="198">
        <v>153.9</v>
      </c>
    </row>
    <row r="10" spans="1:17" ht="17.25" customHeight="1">
      <c r="A10" s="7"/>
      <c r="B10" s="76" t="s">
        <v>80</v>
      </c>
      <c r="C10" s="200">
        <v>65.5</v>
      </c>
      <c r="D10" s="364">
        <v>46.5</v>
      </c>
      <c r="E10" s="364">
        <v>67.7</v>
      </c>
      <c r="F10" s="200">
        <v>74.2</v>
      </c>
      <c r="G10" s="200">
        <v>75.5</v>
      </c>
      <c r="H10" s="200">
        <v>78.2</v>
      </c>
      <c r="I10" s="200">
        <v>78.5</v>
      </c>
      <c r="J10" s="201">
        <f t="shared" si="0"/>
        <v>78.5</v>
      </c>
      <c r="K10" s="200">
        <v>87.1</v>
      </c>
      <c r="L10" s="200">
        <v>82.9</v>
      </c>
      <c r="M10" s="200">
        <v>82.3</v>
      </c>
      <c r="N10" s="200">
        <v>87.9</v>
      </c>
      <c r="O10" s="201">
        <f t="shared" si="1"/>
        <v>87.9</v>
      </c>
      <c r="P10" s="200">
        <v>93</v>
      </c>
      <c r="Q10" s="200">
        <v>97.6</v>
      </c>
    </row>
    <row r="11" spans="1:17" ht="17.25" customHeight="1">
      <c r="A11" s="7"/>
      <c r="B11" s="30" t="s">
        <v>126</v>
      </c>
      <c r="C11" s="194">
        <f aca="true" t="shared" si="2" ref="C11:I11">SUM(C7:C10)</f>
        <v>852</v>
      </c>
      <c r="D11" s="194">
        <f t="shared" si="2"/>
        <v>658.5</v>
      </c>
      <c r="E11" s="194">
        <f t="shared" si="2"/>
        <v>759.7</v>
      </c>
      <c r="F11" s="194">
        <f t="shared" si="2"/>
        <v>780.3</v>
      </c>
      <c r="G11" s="194">
        <f t="shared" si="2"/>
        <v>762.4</v>
      </c>
      <c r="H11" s="194">
        <f t="shared" si="2"/>
        <v>768.3</v>
      </c>
      <c r="I11" s="194">
        <f t="shared" si="2"/>
        <v>763.1</v>
      </c>
      <c r="J11" s="194">
        <f t="shared" si="0"/>
        <v>763.1</v>
      </c>
      <c r="K11" s="194">
        <f>SUM(K7:K10)</f>
        <v>779.2</v>
      </c>
      <c r="L11" s="194">
        <f>SUM(L7:L10)</f>
        <v>743.5</v>
      </c>
      <c r="M11" s="194">
        <f>SUM(M7:M10)</f>
        <v>721.8</v>
      </c>
      <c r="N11" s="194">
        <f>SUM(N7:N10)</f>
        <v>750.2</v>
      </c>
      <c r="O11" s="194">
        <f t="shared" si="1"/>
        <v>750.2</v>
      </c>
      <c r="P11" s="194">
        <f>SUM(P7:P10)</f>
        <v>772.2</v>
      </c>
      <c r="Q11" s="194">
        <f>SUM(Q7:Q10)</f>
        <v>774.1</v>
      </c>
    </row>
    <row r="12" spans="1:17" ht="17.25" customHeight="1">
      <c r="A12" s="7"/>
      <c r="B12" s="30" t="s">
        <v>127</v>
      </c>
      <c r="C12" s="202">
        <v>200.5</v>
      </c>
      <c r="D12" s="365">
        <v>154.3</v>
      </c>
      <c r="E12" s="365">
        <v>182.6</v>
      </c>
      <c r="F12" s="202">
        <v>194</v>
      </c>
      <c r="G12" s="202">
        <v>190.6</v>
      </c>
      <c r="H12" s="202">
        <v>193.3</v>
      </c>
      <c r="I12" s="202">
        <v>195.9</v>
      </c>
      <c r="J12" s="194">
        <f t="shared" si="0"/>
        <v>195.9</v>
      </c>
      <c r="K12" s="202">
        <v>201.4</v>
      </c>
      <c r="L12" s="202">
        <v>199.5</v>
      </c>
      <c r="M12" s="202">
        <v>195.2</v>
      </c>
      <c r="N12" s="202">
        <v>203</v>
      </c>
      <c r="O12" s="194">
        <f t="shared" si="1"/>
        <v>203</v>
      </c>
      <c r="P12" s="202">
        <v>211.3</v>
      </c>
      <c r="Q12" s="202">
        <v>213.8</v>
      </c>
    </row>
    <row r="13" spans="1:17" ht="17.25" customHeight="1" thickBot="1">
      <c r="A13" s="7"/>
      <c r="B13" s="83" t="s">
        <v>77</v>
      </c>
      <c r="C13" s="203">
        <f aca="true" t="shared" si="3" ref="C13:I13">+C11+C12</f>
        <v>1052.5</v>
      </c>
      <c r="D13" s="203">
        <f t="shared" si="3"/>
        <v>812.8</v>
      </c>
      <c r="E13" s="203">
        <f t="shared" si="3"/>
        <v>942.3</v>
      </c>
      <c r="F13" s="203">
        <f t="shared" si="3"/>
        <v>974.3</v>
      </c>
      <c r="G13" s="203">
        <f t="shared" si="3"/>
        <v>953</v>
      </c>
      <c r="H13" s="203">
        <f t="shared" si="3"/>
        <v>961.6</v>
      </c>
      <c r="I13" s="203">
        <f t="shared" si="3"/>
        <v>959</v>
      </c>
      <c r="J13" s="203">
        <f t="shared" si="0"/>
        <v>959</v>
      </c>
      <c r="K13" s="203">
        <f>+K11+K12</f>
        <v>980.6</v>
      </c>
      <c r="L13" s="203">
        <f>+L11+L12</f>
        <v>943</v>
      </c>
      <c r="M13" s="203">
        <f>+M11+M12</f>
        <v>917</v>
      </c>
      <c r="N13" s="203">
        <f>+N11+N12</f>
        <v>953.2</v>
      </c>
      <c r="O13" s="203">
        <f t="shared" si="1"/>
        <v>953.2</v>
      </c>
      <c r="P13" s="203">
        <f>+P11+P12</f>
        <v>983.5</v>
      </c>
      <c r="Q13" s="203">
        <f>+Q11+Q12</f>
        <v>987.9</v>
      </c>
    </row>
    <row r="14" spans="1:17" ht="17.25" customHeight="1">
      <c r="A14" s="7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</row>
    <row r="15" spans="1:17" ht="17.25" customHeight="1">
      <c r="A15" s="7"/>
      <c r="B15" s="81" t="s">
        <v>152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s="18" customFormat="1" ht="17.25" customHeight="1" thickBot="1">
      <c r="A16" s="7"/>
      <c r="B16" s="238" t="s">
        <v>153</v>
      </c>
      <c r="C16" s="239">
        <v>988.2</v>
      </c>
      <c r="D16" s="239">
        <v>955.9</v>
      </c>
      <c r="E16" s="239">
        <v>880.9</v>
      </c>
      <c r="F16" s="239">
        <v>958.1</v>
      </c>
      <c r="G16" s="239">
        <v>986.8</v>
      </c>
      <c r="H16" s="239">
        <v>955.6</v>
      </c>
      <c r="I16" s="239">
        <v>973.4</v>
      </c>
      <c r="J16" s="239">
        <v>968.4</v>
      </c>
      <c r="K16" s="239">
        <v>974.4</v>
      </c>
      <c r="L16" s="239">
        <v>964.7</v>
      </c>
      <c r="M16" s="239">
        <v>907.4</v>
      </c>
      <c r="N16" s="239">
        <v>934.2</v>
      </c>
      <c r="O16" s="239">
        <v>945.2</v>
      </c>
      <c r="P16" s="239">
        <v>970.3</v>
      </c>
      <c r="Q16" s="239">
        <v>983.9</v>
      </c>
    </row>
    <row r="17" spans="1:17" ht="17.25" customHeight="1">
      <c r="A17" s="7"/>
      <c r="B17" s="78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7.25" customHeight="1">
      <c r="A18" s="7"/>
      <c r="B18" s="81" t="s">
        <v>78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ht="17.25" customHeight="1">
      <c r="A19" s="7"/>
      <c r="B19" s="73" t="s">
        <v>74</v>
      </c>
      <c r="C19" s="196">
        <v>335.7</v>
      </c>
      <c r="D19" s="362">
        <v>250.6</v>
      </c>
      <c r="E19" s="362">
        <v>285.9</v>
      </c>
      <c r="F19" s="196">
        <v>295.7</v>
      </c>
      <c r="G19" s="196">
        <v>298.7</v>
      </c>
      <c r="H19" s="196">
        <v>292.2</v>
      </c>
      <c r="I19" s="196">
        <v>289.4</v>
      </c>
      <c r="J19" s="197">
        <f>+I19</f>
        <v>289.4</v>
      </c>
      <c r="K19" s="196">
        <v>289.9</v>
      </c>
      <c r="L19" s="196">
        <v>269.7</v>
      </c>
      <c r="M19" s="196">
        <v>271.3</v>
      </c>
      <c r="N19" s="196">
        <v>286.4</v>
      </c>
      <c r="O19" s="197">
        <f>+N19</f>
        <v>286.4</v>
      </c>
      <c r="P19" s="196">
        <v>293.3</v>
      </c>
      <c r="Q19" s="196">
        <v>308.2</v>
      </c>
    </row>
    <row r="20" spans="1:17" ht="17.25" customHeight="1">
      <c r="A20" s="7"/>
      <c r="B20" s="75" t="s">
        <v>75</v>
      </c>
      <c r="C20" s="198">
        <v>267.2</v>
      </c>
      <c r="D20" s="363">
        <v>211</v>
      </c>
      <c r="E20" s="363">
        <v>242.5</v>
      </c>
      <c r="F20" s="198">
        <v>240.1</v>
      </c>
      <c r="G20" s="198">
        <v>216.2</v>
      </c>
      <c r="H20" s="198">
        <v>221</v>
      </c>
      <c r="I20" s="198">
        <v>213.6</v>
      </c>
      <c r="J20" s="199">
        <f>+I20</f>
        <v>213.6</v>
      </c>
      <c r="K20" s="198">
        <v>219.6</v>
      </c>
      <c r="L20" s="198">
        <v>205</v>
      </c>
      <c r="M20" s="198">
        <v>192.4</v>
      </c>
      <c r="N20" s="198">
        <v>195.5</v>
      </c>
      <c r="O20" s="199">
        <f>+N20</f>
        <v>195.5</v>
      </c>
      <c r="P20" s="198">
        <v>196.7</v>
      </c>
      <c r="Q20" s="198">
        <v>187.9</v>
      </c>
    </row>
    <row r="21" spans="1:17" ht="17.25" customHeight="1">
      <c r="A21" s="7"/>
      <c r="B21" s="75" t="s">
        <v>76</v>
      </c>
      <c r="C21" s="198">
        <v>312.3</v>
      </c>
      <c r="D21" s="363">
        <v>257.1</v>
      </c>
      <c r="E21" s="363">
        <v>314.1</v>
      </c>
      <c r="F21" s="198">
        <v>330.8</v>
      </c>
      <c r="G21" s="198">
        <v>327.5</v>
      </c>
      <c r="H21" s="198">
        <v>330.2</v>
      </c>
      <c r="I21" s="198">
        <v>335.4</v>
      </c>
      <c r="J21" s="199">
        <f>+I21</f>
        <v>335.4</v>
      </c>
      <c r="K21" s="198">
        <v>340.7</v>
      </c>
      <c r="L21" s="198">
        <v>340.4</v>
      </c>
      <c r="M21" s="198">
        <v>329.7</v>
      </c>
      <c r="N21" s="198">
        <v>338.7</v>
      </c>
      <c r="O21" s="199">
        <f>+N21</f>
        <v>338.7</v>
      </c>
      <c r="P21" s="198">
        <v>354.3</v>
      </c>
      <c r="Q21" s="198">
        <v>350</v>
      </c>
    </row>
    <row r="22" spans="1:17" ht="17.25" customHeight="1">
      <c r="A22" s="7"/>
      <c r="B22" s="76" t="s">
        <v>6</v>
      </c>
      <c r="C22" s="200">
        <v>137.3</v>
      </c>
      <c r="D22" s="364">
        <v>94.1</v>
      </c>
      <c r="E22" s="364">
        <v>99.8</v>
      </c>
      <c r="F22" s="200">
        <v>107.7</v>
      </c>
      <c r="G22" s="200">
        <v>110.6</v>
      </c>
      <c r="H22" s="200">
        <v>118.2</v>
      </c>
      <c r="I22" s="200">
        <v>120.6</v>
      </c>
      <c r="J22" s="201">
        <f>+I22</f>
        <v>120.6</v>
      </c>
      <c r="K22" s="200">
        <v>130.4</v>
      </c>
      <c r="L22" s="200">
        <v>127.9</v>
      </c>
      <c r="M22" s="200">
        <v>123.6</v>
      </c>
      <c r="N22" s="200">
        <v>132.6</v>
      </c>
      <c r="O22" s="201">
        <f>+N22</f>
        <v>132.6</v>
      </c>
      <c r="P22" s="200">
        <v>139.2</v>
      </c>
      <c r="Q22" s="200">
        <v>141.8</v>
      </c>
    </row>
    <row r="23" spans="1:17" ht="17.25" customHeight="1" thickBot="1">
      <c r="A23" s="7"/>
      <c r="B23" s="80" t="s">
        <v>77</v>
      </c>
      <c r="C23" s="193">
        <f aca="true" t="shared" si="4" ref="C23:I23">IF((SUM(C19:C22))=C13,SUM(C19:C22),"Error")</f>
        <v>1052.5</v>
      </c>
      <c r="D23" s="193">
        <f t="shared" si="4"/>
        <v>812.8</v>
      </c>
      <c r="E23" s="193">
        <f t="shared" si="4"/>
        <v>942.3</v>
      </c>
      <c r="F23" s="193">
        <f t="shared" si="4"/>
        <v>974.3</v>
      </c>
      <c r="G23" s="193">
        <f t="shared" si="4"/>
        <v>953</v>
      </c>
      <c r="H23" s="193">
        <f t="shared" si="4"/>
        <v>961.6</v>
      </c>
      <c r="I23" s="193">
        <f t="shared" si="4"/>
        <v>959</v>
      </c>
      <c r="J23" s="193">
        <f>+I23</f>
        <v>959</v>
      </c>
      <c r="K23" s="193">
        <f>IF((SUM(K19:K22))=K13,SUM(K19:K22),"Error")</f>
        <v>980.6</v>
      </c>
      <c r="L23" s="193">
        <f>IF((SUM(L19:L22))=L13,SUM(L19:L22),"Error")</f>
        <v>943</v>
      </c>
      <c r="M23" s="193">
        <f>IF((SUM(M19:M22))=M13,SUM(M19:M22),"Error")</f>
        <v>917</v>
      </c>
      <c r="N23" s="193">
        <f>SUM(N19:N22)</f>
        <v>953.2</v>
      </c>
      <c r="O23" s="193">
        <f>+N23</f>
        <v>953.2</v>
      </c>
      <c r="P23" s="193">
        <f>IF((SUM(P19:P22))=P13,SUM(P19:P22),"Error")</f>
        <v>983.5</v>
      </c>
      <c r="Q23" s="193">
        <f>IF((SUM(Q19:Q22))=Q13,SUM(Q19:Q22),"Error")</f>
        <v>987.9</v>
      </c>
    </row>
    <row r="24" spans="1:17" ht="17.25" customHeight="1">
      <c r="A24" s="7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7.25" customHeight="1">
      <c r="A25" s="7"/>
      <c r="B25" s="81" t="s">
        <v>81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</row>
    <row r="26" spans="1:17" ht="18" customHeight="1">
      <c r="A26" s="7"/>
      <c r="B26" s="84" t="s">
        <v>82</v>
      </c>
      <c r="C26" s="393" t="s">
        <v>194</v>
      </c>
      <c r="D26" s="366">
        <v>2.5</v>
      </c>
      <c r="E26" s="366">
        <v>3.7</v>
      </c>
      <c r="F26" s="160">
        <v>4.1</v>
      </c>
      <c r="G26" s="160">
        <v>1.7</v>
      </c>
      <c r="H26" s="160">
        <v>0.9</v>
      </c>
      <c r="I26" s="160">
        <v>-1.5</v>
      </c>
      <c r="J26" s="204">
        <f>F26+G26+H26+I26</f>
        <v>5.2</v>
      </c>
      <c r="K26" s="160">
        <v>4</v>
      </c>
      <c r="L26" s="160">
        <v>3.1</v>
      </c>
      <c r="M26" s="160">
        <v>-0.1</v>
      </c>
      <c r="N26" s="160">
        <v>-2.1</v>
      </c>
      <c r="O26" s="204">
        <f>K26+L26+M26+N26</f>
        <v>4.9</v>
      </c>
      <c r="P26" s="160">
        <v>1.3</v>
      </c>
      <c r="Q26" s="160">
        <v>0.7</v>
      </c>
    </row>
    <row r="27" spans="1:17" ht="17.25" customHeight="1">
      <c r="A27" s="7"/>
      <c r="B27" s="75" t="s">
        <v>72</v>
      </c>
      <c r="C27" s="394" t="s">
        <v>194</v>
      </c>
      <c r="D27" s="363">
        <v>12.6</v>
      </c>
      <c r="E27" s="363">
        <v>9.4</v>
      </c>
      <c r="F27" s="198">
        <v>1.1</v>
      </c>
      <c r="G27" s="198">
        <v>5.4</v>
      </c>
      <c r="H27" s="198">
        <v>3.9</v>
      </c>
      <c r="I27" s="198">
        <v>3.1</v>
      </c>
      <c r="J27" s="199">
        <f>F27+G27+H27+I27</f>
        <v>13.5</v>
      </c>
      <c r="K27" s="198">
        <v>3</v>
      </c>
      <c r="L27" s="198">
        <v>3.3</v>
      </c>
      <c r="M27" s="198">
        <v>2.5</v>
      </c>
      <c r="N27" s="198">
        <v>5</v>
      </c>
      <c r="O27" s="199">
        <f>K27+L27+M27+N27</f>
        <v>13.8</v>
      </c>
      <c r="P27" s="198">
        <v>-2.4</v>
      </c>
      <c r="Q27" s="198">
        <v>0.3</v>
      </c>
    </row>
    <row r="28" spans="1:17" ht="17.25" customHeight="1">
      <c r="A28" s="7"/>
      <c r="B28" s="75" t="s">
        <v>71</v>
      </c>
      <c r="C28" s="394" t="s">
        <v>194</v>
      </c>
      <c r="D28" s="363">
        <v>16.8</v>
      </c>
      <c r="E28" s="363">
        <v>8</v>
      </c>
      <c r="F28" s="198">
        <v>2</v>
      </c>
      <c r="G28" s="198">
        <v>1.6</v>
      </c>
      <c r="H28" s="198">
        <v>3.1</v>
      </c>
      <c r="I28" s="198">
        <v>2.8</v>
      </c>
      <c r="J28" s="199">
        <f>F28+G28+H28+I28</f>
        <v>9.5</v>
      </c>
      <c r="K28" s="198">
        <v>3.2</v>
      </c>
      <c r="L28" s="198">
        <v>2.5</v>
      </c>
      <c r="M28" s="198">
        <v>1.4</v>
      </c>
      <c r="N28" s="198">
        <v>1.2</v>
      </c>
      <c r="O28" s="199">
        <f>K28+L28+M28+N28</f>
        <v>8.3</v>
      </c>
      <c r="P28" s="198">
        <v>3.8</v>
      </c>
      <c r="Q28" s="198">
        <v>2.5</v>
      </c>
    </row>
    <row r="29" spans="1:17" ht="17.25" customHeight="1">
      <c r="A29" s="7"/>
      <c r="B29" s="76" t="s">
        <v>73</v>
      </c>
      <c r="C29" s="395" t="s">
        <v>194</v>
      </c>
      <c r="D29" s="364">
        <v>8.2</v>
      </c>
      <c r="E29" s="364">
        <v>11.5</v>
      </c>
      <c r="F29" s="200">
        <v>4</v>
      </c>
      <c r="G29" s="200">
        <v>3.1</v>
      </c>
      <c r="H29" s="200">
        <v>3.8</v>
      </c>
      <c r="I29" s="200">
        <v>1.5</v>
      </c>
      <c r="J29" s="201">
        <f>F29+G29+H29+I29</f>
        <v>12.4</v>
      </c>
      <c r="K29" s="200">
        <v>4</v>
      </c>
      <c r="L29" s="200">
        <v>2.7</v>
      </c>
      <c r="M29" s="200">
        <v>2.9</v>
      </c>
      <c r="N29" s="200">
        <v>0.8</v>
      </c>
      <c r="O29" s="201">
        <f>K29+L29+M29+N29</f>
        <v>10.4</v>
      </c>
      <c r="P29" s="200">
        <v>2.8</v>
      </c>
      <c r="Q29" s="200">
        <v>2</v>
      </c>
    </row>
    <row r="30" spans="1:17" ht="17.25" customHeight="1">
      <c r="A30" s="7"/>
      <c r="B30" s="30" t="s">
        <v>126</v>
      </c>
      <c r="C30" s="194" t="s">
        <v>194</v>
      </c>
      <c r="D30" s="194">
        <f>SUM(D26:D29)</f>
        <v>40.1</v>
      </c>
      <c r="E30" s="194">
        <f>SUM(E26:E29)</f>
        <v>32.6</v>
      </c>
      <c r="F30" s="194">
        <f>SUM(F26:F29)</f>
        <v>11.2</v>
      </c>
      <c r="G30" s="194">
        <f>SUM(G26:G29)</f>
        <v>11.8</v>
      </c>
      <c r="H30" s="194">
        <f>SUM(H26:H29)</f>
        <v>11.7</v>
      </c>
      <c r="I30" s="194">
        <f aca="true" t="shared" si="5" ref="I30:O30">SUM(I26:I29)</f>
        <v>5.9</v>
      </c>
      <c r="J30" s="194">
        <f t="shared" si="5"/>
        <v>40.6</v>
      </c>
      <c r="K30" s="194">
        <f t="shared" si="5"/>
        <v>14.2</v>
      </c>
      <c r="L30" s="194">
        <f t="shared" si="5"/>
        <v>11.6</v>
      </c>
      <c r="M30" s="194">
        <f t="shared" si="5"/>
        <v>6.7</v>
      </c>
      <c r="N30" s="194">
        <f t="shared" si="5"/>
        <v>4.9</v>
      </c>
      <c r="O30" s="194">
        <f t="shared" si="5"/>
        <v>37.4</v>
      </c>
      <c r="P30" s="194">
        <f>SUM(P26:P29)</f>
        <v>5.5</v>
      </c>
      <c r="Q30" s="194">
        <f>SUM(Q26:Q29)</f>
        <v>5.5</v>
      </c>
    </row>
    <row r="31" spans="1:17" ht="17.25" customHeight="1">
      <c r="A31" s="7"/>
      <c r="B31" s="30" t="s">
        <v>127</v>
      </c>
      <c r="C31" s="365" t="s">
        <v>194</v>
      </c>
      <c r="D31" s="365">
        <v>-18.9</v>
      </c>
      <c r="E31" s="365">
        <v>7.2</v>
      </c>
      <c r="F31" s="202">
        <v>6.4</v>
      </c>
      <c r="G31" s="202">
        <v>0.7</v>
      </c>
      <c r="H31" s="202">
        <v>-0.1</v>
      </c>
      <c r="I31" s="202">
        <v>1</v>
      </c>
      <c r="J31" s="194">
        <f>F31+G31+H31+I31</f>
        <v>8</v>
      </c>
      <c r="K31" s="202">
        <v>1.8</v>
      </c>
      <c r="L31" s="307">
        <v>0.3</v>
      </c>
      <c r="M31" s="307">
        <v>0.6</v>
      </c>
      <c r="N31" s="307">
        <v>2.6</v>
      </c>
      <c r="O31" s="194">
        <f>K31+L31+M31+N31</f>
        <v>5.3</v>
      </c>
      <c r="P31" s="202">
        <v>2.4</v>
      </c>
      <c r="Q31" s="202">
        <v>-2.1</v>
      </c>
    </row>
    <row r="32" spans="1:17" ht="17.25" customHeight="1" thickBot="1">
      <c r="A32" s="7"/>
      <c r="B32" s="80" t="s">
        <v>64</v>
      </c>
      <c r="C32" s="203" t="s">
        <v>194</v>
      </c>
      <c r="D32" s="203">
        <f>+D30+D31</f>
        <v>21.2</v>
      </c>
      <c r="E32" s="203">
        <f>+E30+E31</f>
        <v>39.8</v>
      </c>
      <c r="F32" s="203">
        <f>+F30+F31</f>
        <v>17.6</v>
      </c>
      <c r="G32" s="203">
        <f>+G30+G31</f>
        <v>12.5</v>
      </c>
      <c r="H32" s="203">
        <f>+H30+H31</f>
        <v>11.6</v>
      </c>
      <c r="I32" s="203">
        <f aca="true" t="shared" si="6" ref="I32:O32">+I30+I31</f>
        <v>6.9</v>
      </c>
      <c r="J32" s="203">
        <f t="shared" si="6"/>
        <v>48.6</v>
      </c>
      <c r="K32" s="203">
        <f t="shared" si="6"/>
        <v>16</v>
      </c>
      <c r="L32" s="203">
        <f t="shared" si="6"/>
        <v>11.9</v>
      </c>
      <c r="M32" s="203">
        <f t="shared" si="6"/>
        <v>7.3</v>
      </c>
      <c r="N32" s="203">
        <f t="shared" si="6"/>
        <v>7.5</v>
      </c>
      <c r="O32" s="203">
        <f t="shared" si="6"/>
        <v>42.7</v>
      </c>
      <c r="P32" s="203">
        <f>+P30+P31</f>
        <v>7.9</v>
      </c>
      <c r="Q32" s="203">
        <f>+Q30+Q31</f>
        <v>3.4</v>
      </c>
    </row>
    <row r="33" spans="1:17" ht="17.25" customHeight="1">
      <c r="A33" s="7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17.25" customHeight="1">
      <c r="A34" s="7"/>
      <c r="B34" s="13" t="s">
        <v>63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7.25" customHeight="1">
      <c r="A35" s="7"/>
      <c r="B35" s="97" t="s">
        <v>64</v>
      </c>
      <c r="C35" s="396" t="s">
        <v>194</v>
      </c>
      <c r="D35" s="367">
        <v>40.1</v>
      </c>
      <c r="E35" s="367">
        <v>32.6</v>
      </c>
      <c r="F35" s="206">
        <v>11.2</v>
      </c>
      <c r="G35" s="206">
        <v>11.8</v>
      </c>
      <c r="H35" s="206">
        <v>11.7</v>
      </c>
      <c r="I35" s="216">
        <v>5.9</v>
      </c>
      <c r="J35" s="190">
        <f>F35+G35+H35+I35</f>
        <v>40.6</v>
      </c>
      <c r="K35" s="216">
        <v>14.2</v>
      </c>
      <c r="L35" s="216">
        <v>11.6</v>
      </c>
      <c r="M35" s="216">
        <v>6.7</v>
      </c>
      <c r="N35" s="216">
        <v>4.9</v>
      </c>
      <c r="O35" s="190">
        <f>K35+L35+M35+N35</f>
        <v>37.4</v>
      </c>
      <c r="P35" s="216">
        <v>5.5</v>
      </c>
      <c r="Q35" s="216">
        <v>5.5</v>
      </c>
    </row>
    <row r="36" spans="1:17" ht="17.25" customHeight="1">
      <c r="A36" s="7"/>
      <c r="B36" s="159" t="s">
        <v>114</v>
      </c>
      <c r="C36" s="397" t="s">
        <v>194</v>
      </c>
      <c r="D36" s="207">
        <f>SUM(D37:D39)</f>
        <v>-233.6</v>
      </c>
      <c r="E36" s="373">
        <v>68.6</v>
      </c>
      <c r="F36" s="207">
        <f>SUM(F37:F39)</f>
        <v>9.4</v>
      </c>
      <c r="G36" s="207">
        <f>SUM(G37:G39)</f>
        <v>-29.7</v>
      </c>
      <c r="H36" s="207">
        <f>SUM(H37:H39)</f>
        <v>-5.8</v>
      </c>
      <c r="I36" s="191">
        <f>SUM(I37:I39)</f>
        <v>-11.1</v>
      </c>
      <c r="J36" s="191">
        <f>F36+G36+H36+I36</f>
        <v>-37.2</v>
      </c>
      <c r="K36" s="191">
        <f>SUM(K37:K39)</f>
        <v>1.9</v>
      </c>
      <c r="L36" s="191">
        <f>SUM(L37:L39)</f>
        <v>-47.3</v>
      </c>
      <c r="M36" s="191">
        <f>SUM(M37:M39)</f>
        <v>-28.4</v>
      </c>
      <c r="N36" s="191">
        <f>SUM(N37:N39)</f>
        <v>23.5</v>
      </c>
      <c r="O36" s="191">
        <f>K36+L36+M36+N36</f>
        <v>-50.3</v>
      </c>
      <c r="P36" s="191">
        <f>SUM(P37:P39)</f>
        <v>16.5</v>
      </c>
      <c r="Q36" s="191">
        <f>SUM(Q37:Q39)</f>
        <v>-3.6</v>
      </c>
    </row>
    <row r="37" spans="1:17" ht="17.25" customHeight="1">
      <c r="A37" s="7"/>
      <c r="B37" s="156" t="s">
        <v>115</v>
      </c>
      <c r="C37" s="362" t="s">
        <v>194</v>
      </c>
      <c r="D37" s="368">
        <v>-174</v>
      </c>
      <c r="E37" s="368">
        <v>77.9</v>
      </c>
      <c r="F37" s="208">
        <v>16.1</v>
      </c>
      <c r="G37" s="208">
        <v>-21.7</v>
      </c>
      <c r="H37" s="208">
        <v>23.8</v>
      </c>
      <c r="I37" s="196">
        <v>17.8</v>
      </c>
      <c r="J37" s="197">
        <f>F37+G37+H37+I37</f>
        <v>36</v>
      </c>
      <c r="K37" s="196">
        <v>3.5</v>
      </c>
      <c r="L37" s="196">
        <v>-3.4</v>
      </c>
      <c r="M37" s="196">
        <v>-48.1</v>
      </c>
      <c r="N37" s="196">
        <v>12.1</v>
      </c>
      <c r="O37" s="197">
        <f>K37+L37+M37+N37</f>
        <v>-35.9</v>
      </c>
      <c r="P37" s="196">
        <v>31.9</v>
      </c>
      <c r="Q37" s="196">
        <v>-18.3</v>
      </c>
    </row>
    <row r="38" spans="1:17" ht="17.25" customHeight="1">
      <c r="A38" s="7"/>
      <c r="B38" s="154" t="s">
        <v>116</v>
      </c>
      <c r="C38" s="363" t="s">
        <v>194</v>
      </c>
      <c r="D38" s="369">
        <v>-54.3</v>
      </c>
      <c r="E38" s="369">
        <v>-3.4</v>
      </c>
      <c r="F38" s="209">
        <v>-4.2</v>
      </c>
      <c r="G38" s="209">
        <v>-7.3</v>
      </c>
      <c r="H38" s="209">
        <v>-28.7</v>
      </c>
      <c r="I38" s="198">
        <v>-27</v>
      </c>
      <c r="J38" s="199">
        <f>F38+G38+H38+I38</f>
        <v>-67.2</v>
      </c>
      <c r="K38" s="198">
        <v>0.1</v>
      </c>
      <c r="L38" s="198">
        <v>-38.9</v>
      </c>
      <c r="M38" s="198">
        <v>19.8</v>
      </c>
      <c r="N38" s="198">
        <v>11.4</v>
      </c>
      <c r="O38" s="199">
        <f>K38+L38+M38+N38</f>
        <v>-7.6</v>
      </c>
      <c r="P38" s="198">
        <v>-15.1</v>
      </c>
      <c r="Q38" s="198">
        <v>14.8</v>
      </c>
    </row>
    <row r="39" spans="1:17" ht="17.25" customHeight="1">
      <c r="A39" s="7"/>
      <c r="B39" s="155" t="s">
        <v>117</v>
      </c>
      <c r="C39" s="398" t="s">
        <v>194</v>
      </c>
      <c r="D39" s="370">
        <v>-5.3</v>
      </c>
      <c r="E39" s="370">
        <v>-5.9</v>
      </c>
      <c r="F39" s="210">
        <v>-2.5</v>
      </c>
      <c r="G39" s="210">
        <v>-0.7</v>
      </c>
      <c r="H39" s="210">
        <v>-0.9</v>
      </c>
      <c r="I39" s="220">
        <v>-1.9</v>
      </c>
      <c r="J39" s="192">
        <f>F39+G39+H39+I39</f>
        <v>-6</v>
      </c>
      <c r="K39" s="220">
        <v>-1.7</v>
      </c>
      <c r="L39" s="220">
        <v>-5</v>
      </c>
      <c r="M39" s="220">
        <v>-0.1</v>
      </c>
      <c r="N39" s="432">
        <v>0</v>
      </c>
      <c r="O39" s="192">
        <f>K39+L39+M39+N39</f>
        <v>-6.8</v>
      </c>
      <c r="P39" s="220">
        <v>-0.3</v>
      </c>
      <c r="Q39" s="220">
        <v>-0.1</v>
      </c>
    </row>
    <row r="40" spans="1:17" ht="17.25" customHeight="1">
      <c r="A40" s="7"/>
      <c r="B40" s="30" t="s">
        <v>126</v>
      </c>
      <c r="C40" s="194" t="s">
        <v>194</v>
      </c>
      <c r="D40" s="205">
        <f>+D35+D36</f>
        <v>-193.5</v>
      </c>
      <c r="E40" s="205">
        <f>+E35+E36</f>
        <v>101.2</v>
      </c>
      <c r="F40" s="205">
        <f>+F35+F36</f>
        <v>20.6</v>
      </c>
      <c r="G40" s="205">
        <f>+G35+G36</f>
        <v>-17.9</v>
      </c>
      <c r="H40" s="205">
        <f>+H35+H36</f>
        <v>5.9</v>
      </c>
      <c r="I40" s="194">
        <f aca="true" t="shared" si="7" ref="I40:O40">+I35+I36</f>
        <v>-5.2</v>
      </c>
      <c r="J40" s="194">
        <f t="shared" si="7"/>
        <v>3.4</v>
      </c>
      <c r="K40" s="194">
        <f t="shared" si="7"/>
        <v>16.1</v>
      </c>
      <c r="L40" s="194">
        <f t="shared" si="7"/>
        <v>-35.7</v>
      </c>
      <c r="M40" s="194">
        <f t="shared" si="7"/>
        <v>-21.7</v>
      </c>
      <c r="N40" s="194">
        <f t="shared" si="7"/>
        <v>28.4</v>
      </c>
      <c r="O40" s="194">
        <f t="shared" si="7"/>
        <v>-12.9</v>
      </c>
      <c r="P40" s="194">
        <f>+P35+P36</f>
        <v>22</v>
      </c>
      <c r="Q40" s="194">
        <f>+Q35+Q36</f>
        <v>1.9</v>
      </c>
    </row>
    <row r="41" spans="1:17" ht="17.25" customHeight="1">
      <c r="A41" s="7"/>
      <c r="B41" s="30" t="s">
        <v>127</v>
      </c>
      <c r="C41" s="365" t="s">
        <v>194</v>
      </c>
      <c r="D41" s="371">
        <v>-46.2</v>
      </c>
      <c r="E41" s="371">
        <v>28.3</v>
      </c>
      <c r="F41" s="211">
        <v>11.4</v>
      </c>
      <c r="G41" s="211">
        <v>-3.4</v>
      </c>
      <c r="H41" s="211">
        <v>2.7</v>
      </c>
      <c r="I41" s="202">
        <v>2.6</v>
      </c>
      <c r="J41" s="240">
        <f>SUM(F41:I41)</f>
        <v>13.3</v>
      </c>
      <c r="K41" s="202">
        <v>5.5</v>
      </c>
      <c r="L41" s="202">
        <v>-1.9</v>
      </c>
      <c r="M41" s="202">
        <v>-4.3</v>
      </c>
      <c r="N41" s="202">
        <v>7.8</v>
      </c>
      <c r="O41" s="240">
        <f>SUM(K41:N41)</f>
        <v>7.1</v>
      </c>
      <c r="P41" s="202">
        <v>8.3</v>
      </c>
      <c r="Q41" s="202">
        <v>2.5</v>
      </c>
    </row>
    <row r="42" spans="1:17" ht="24" customHeight="1" thickBot="1">
      <c r="A42" s="7"/>
      <c r="B42" s="128" t="s">
        <v>131</v>
      </c>
      <c r="C42" s="218" t="s">
        <v>194</v>
      </c>
      <c r="D42" s="212">
        <f>+D40+D41</f>
        <v>-239.7</v>
      </c>
      <c r="E42" s="212">
        <f>+E40+E41</f>
        <v>129.5</v>
      </c>
      <c r="F42" s="212">
        <f>+F40+F41</f>
        <v>32</v>
      </c>
      <c r="G42" s="212">
        <f>+G40+G41</f>
        <v>-21.3</v>
      </c>
      <c r="H42" s="212">
        <f>+H40+H41</f>
        <v>8.6</v>
      </c>
      <c r="I42" s="218">
        <f aca="true" t="shared" si="8" ref="I42:O42">+I40+I41</f>
        <v>-2.6</v>
      </c>
      <c r="J42" s="218">
        <f t="shared" si="8"/>
        <v>16.7</v>
      </c>
      <c r="K42" s="218">
        <f t="shared" si="8"/>
        <v>21.6</v>
      </c>
      <c r="L42" s="218">
        <f t="shared" si="8"/>
        <v>-37.6</v>
      </c>
      <c r="M42" s="218">
        <f t="shared" si="8"/>
        <v>-26</v>
      </c>
      <c r="N42" s="218">
        <f t="shared" si="8"/>
        <v>36.2</v>
      </c>
      <c r="O42" s="218">
        <f t="shared" si="8"/>
        <v>-5.8</v>
      </c>
      <c r="P42" s="218">
        <f>+P40+P41</f>
        <v>30.3</v>
      </c>
      <c r="Q42" s="218">
        <f>+Q40+Q41</f>
        <v>4.4</v>
      </c>
    </row>
    <row r="43" spans="1:17" ht="17.25" customHeight="1">
      <c r="A43" s="7"/>
      <c r="B43" s="1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</row>
    <row r="44" spans="1:17" ht="17.25" customHeight="1">
      <c r="A44" s="7"/>
      <c r="B44" s="13" t="s">
        <v>88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7" ht="17.25" customHeight="1">
      <c r="A45" s="7"/>
      <c r="B45" s="97" t="s">
        <v>64</v>
      </c>
      <c r="C45" s="399" t="s">
        <v>194</v>
      </c>
      <c r="D45" s="215">
        <v>2</v>
      </c>
      <c r="E45" s="215">
        <v>4.9</v>
      </c>
      <c r="F45" s="214">
        <v>7.5</v>
      </c>
      <c r="G45" s="214">
        <v>5.1</v>
      </c>
      <c r="H45" s="214">
        <v>4.9</v>
      </c>
      <c r="I45" s="219">
        <v>2.9</v>
      </c>
      <c r="J45" s="241">
        <v>5.2</v>
      </c>
      <c r="K45" s="219">
        <v>6.7</v>
      </c>
      <c r="L45" s="219">
        <v>4.9</v>
      </c>
      <c r="M45" s="219">
        <v>3.1</v>
      </c>
      <c r="N45" s="219">
        <v>3.3</v>
      </c>
      <c r="O45" s="241">
        <v>4.5</v>
      </c>
      <c r="P45" s="219">
        <v>3.3</v>
      </c>
      <c r="Q45" s="219">
        <v>1.4</v>
      </c>
    </row>
    <row r="46" spans="1:17" ht="17.25" customHeight="1">
      <c r="A46" s="7"/>
      <c r="B46" s="156" t="s">
        <v>122</v>
      </c>
      <c r="C46" s="400" t="s">
        <v>194</v>
      </c>
      <c r="D46" s="221">
        <v>4.7</v>
      </c>
      <c r="E46" s="221">
        <v>5</v>
      </c>
      <c r="F46" s="208">
        <v>5.9</v>
      </c>
      <c r="G46" s="208">
        <v>6</v>
      </c>
      <c r="H46" s="208">
        <v>6.1</v>
      </c>
      <c r="I46" s="196">
        <v>3.1</v>
      </c>
      <c r="J46" s="217">
        <v>5.3</v>
      </c>
      <c r="K46" s="196">
        <v>7.4</v>
      </c>
      <c r="L46" s="196">
        <v>6</v>
      </c>
      <c r="M46" s="196">
        <v>3.6</v>
      </c>
      <c r="N46" s="196">
        <v>2.7</v>
      </c>
      <c r="O46" s="217">
        <v>4.9</v>
      </c>
      <c r="P46" s="196">
        <v>2.9</v>
      </c>
      <c r="Q46" s="196">
        <v>2.8</v>
      </c>
    </row>
    <row r="47" spans="1:17" ht="17.25" customHeight="1">
      <c r="A47" s="7"/>
      <c r="B47" s="157" t="s">
        <v>123</v>
      </c>
      <c r="C47" s="395" t="s">
        <v>194</v>
      </c>
      <c r="D47" s="222">
        <v>-9.4</v>
      </c>
      <c r="E47" s="222">
        <v>4.7</v>
      </c>
      <c r="F47" s="213">
        <v>14</v>
      </c>
      <c r="G47" s="213">
        <v>1.4</v>
      </c>
      <c r="H47" s="213">
        <v>-0.2</v>
      </c>
      <c r="I47" s="200">
        <v>2.1</v>
      </c>
      <c r="J47" s="242">
        <v>4.4</v>
      </c>
      <c r="K47" s="200">
        <v>3.7</v>
      </c>
      <c r="L47" s="306">
        <v>0.6</v>
      </c>
      <c r="M47" s="306">
        <v>1.2</v>
      </c>
      <c r="N47" s="306">
        <v>5.3</v>
      </c>
      <c r="O47" s="242">
        <v>2.7</v>
      </c>
      <c r="P47" s="200">
        <v>4.7</v>
      </c>
      <c r="Q47" s="200">
        <v>-4</v>
      </c>
    </row>
    <row r="48" spans="1:17" ht="17.25" customHeight="1">
      <c r="A48" s="7"/>
      <c r="B48" s="29" t="s">
        <v>114</v>
      </c>
      <c r="C48" s="401" t="s">
        <v>194</v>
      </c>
      <c r="D48" s="210">
        <v>-24.8</v>
      </c>
      <c r="E48" s="210">
        <v>11</v>
      </c>
      <c r="F48" s="210">
        <v>6.1</v>
      </c>
      <c r="G48" s="210">
        <v>-13.9</v>
      </c>
      <c r="H48" s="210">
        <v>-1.3</v>
      </c>
      <c r="I48" s="220">
        <v>-4</v>
      </c>
      <c r="J48" s="220">
        <v>-3.4</v>
      </c>
      <c r="K48" s="220">
        <v>2.3</v>
      </c>
      <c r="L48" s="220">
        <v>-20.2</v>
      </c>
      <c r="M48" s="220">
        <v>-14.1</v>
      </c>
      <c r="N48" s="220">
        <v>12.5</v>
      </c>
      <c r="O48" s="220">
        <v>-5.1</v>
      </c>
      <c r="P48" s="220">
        <v>9.4</v>
      </c>
      <c r="Q48" s="220">
        <v>0.4</v>
      </c>
    </row>
    <row r="49" spans="1:17" ht="27.75" customHeight="1" thickBot="1">
      <c r="A49" s="7"/>
      <c r="B49" s="128" t="s">
        <v>131</v>
      </c>
      <c r="C49" s="218" t="s">
        <v>194</v>
      </c>
      <c r="D49" s="212">
        <f>+D45+D48</f>
        <v>-22.8</v>
      </c>
      <c r="E49" s="212">
        <f>+E45+E48</f>
        <v>15.9</v>
      </c>
      <c r="F49" s="212">
        <f>+F45+F48</f>
        <v>13.6</v>
      </c>
      <c r="G49" s="212">
        <f>+G45+G48</f>
        <v>-8.8</v>
      </c>
      <c r="H49" s="212">
        <f>+H45+H48</f>
        <v>3.6</v>
      </c>
      <c r="I49" s="218">
        <f aca="true" t="shared" si="9" ref="I49:O49">+I45+I48</f>
        <v>-1.1</v>
      </c>
      <c r="J49" s="218">
        <f t="shared" si="9"/>
        <v>1.8</v>
      </c>
      <c r="K49" s="218">
        <f t="shared" si="9"/>
        <v>9</v>
      </c>
      <c r="L49" s="218">
        <f t="shared" si="9"/>
        <v>-15.3</v>
      </c>
      <c r="M49" s="218">
        <f t="shared" si="9"/>
        <v>-11</v>
      </c>
      <c r="N49" s="218">
        <f t="shared" si="9"/>
        <v>15.8</v>
      </c>
      <c r="O49" s="218">
        <f t="shared" si="9"/>
        <v>-0.6</v>
      </c>
      <c r="P49" s="218">
        <f>+P45+P48</f>
        <v>12.7</v>
      </c>
      <c r="Q49" s="218">
        <f>+Q45+Q48</f>
        <v>1.8</v>
      </c>
    </row>
    <row r="50" spans="1:17" ht="17.25" customHeight="1">
      <c r="A50" s="7"/>
      <c r="B50" s="1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</row>
    <row r="51" spans="1:17" ht="17.25" customHeight="1">
      <c r="A51" s="7"/>
      <c r="B51" s="13" t="s">
        <v>66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</row>
    <row r="52" spans="1:17" ht="17.25" customHeight="1">
      <c r="A52" s="7"/>
      <c r="B52" s="97" t="s">
        <v>64</v>
      </c>
      <c r="C52" s="399" t="s">
        <v>194</v>
      </c>
      <c r="D52" s="367">
        <v>2</v>
      </c>
      <c r="E52" s="367">
        <v>4.9</v>
      </c>
      <c r="F52" s="214">
        <v>5.6</v>
      </c>
      <c r="G52" s="214">
        <v>5.7</v>
      </c>
      <c r="H52" s="214">
        <v>5.4</v>
      </c>
      <c r="I52" s="219">
        <v>5.2</v>
      </c>
      <c r="J52" s="241">
        <f>I52</f>
        <v>5.2</v>
      </c>
      <c r="K52" s="219">
        <v>4.8</v>
      </c>
      <c r="L52" s="219">
        <v>4.9</v>
      </c>
      <c r="M52" s="219">
        <v>4.4</v>
      </c>
      <c r="N52" s="219">
        <v>4.5</v>
      </c>
      <c r="O52" s="241">
        <f>N52</f>
        <v>4.5</v>
      </c>
      <c r="P52" s="219">
        <v>3.5</v>
      </c>
      <c r="Q52" s="219">
        <v>2.8</v>
      </c>
    </row>
    <row r="53" spans="1:17" ht="17.25" customHeight="1">
      <c r="A53" s="7"/>
      <c r="B53" s="156" t="s">
        <v>122</v>
      </c>
      <c r="C53" s="400" t="s">
        <v>194</v>
      </c>
      <c r="D53" s="368">
        <v>4.7</v>
      </c>
      <c r="E53" s="368">
        <v>5</v>
      </c>
      <c r="F53" s="208">
        <v>5.3</v>
      </c>
      <c r="G53" s="208">
        <v>5.5</v>
      </c>
      <c r="H53" s="208">
        <v>5.6</v>
      </c>
      <c r="I53" s="196">
        <v>5.3</v>
      </c>
      <c r="J53" s="197">
        <f>I53</f>
        <v>5.3</v>
      </c>
      <c r="K53" s="196">
        <v>5.6</v>
      </c>
      <c r="L53" s="196">
        <v>5.7</v>
      </c>
      <c r="M53" s="196">
        <v>5</v>
      </c>
      <c r="N53" s="196">
        <v>4.9</v>
      </c>
      <c r="O53" s="197">
        <f>N53</f>
        <v>4.9</v>
      </c>
      <c r="P53" s="196">
        <v>3.7</v>
      </c>
      <c r="Q53" s="196">
        <v>3</v>
      </c>
    </row>
    <row r="54" spans="1:17" ht="17.25" customHeight="1">
      <c r="A54" s="7"/>
      <c r="B54" s="157" t="s">
        <v>123</v>
      </c>
      <c r="C54" s="395" t="s">
        <v>194</v>
      </c>
      <c r="D54" s="372">
        <v>-9.4</v>
      </c>
      <c r="E54" s="372">
        <v>4.7</v>
      </c>
      <c r="F54" s="213">
        <v>6.6</v>
      </c>
      <c r="G54" s="213">
        <v>6.5</v>
      </c>
      <c r="H54" s="213">
        <v>4.4</v>
      </c>
      <c r="I54" s="200">
        <v>4.4</v>
      </c>
      <c r="J54" s="201">
        <f>I54</f>
        <v>4.4</v>
      </c>
      <c r="K54" s="200">
        <v>1.8</v>
      </c>
      <c r="L54" s="200">
        <v>1.6</v>
      </c>
      <c r="M54" s="200">
        <v>1.9</v>
      </c>
      <c r="N54" s="200">
        <v>2.7</v>
      </c>
      <c r="O54" s="201">
        <f>N54</f>
        <v>2.7</v>
      </c>
      <c r="P54" s="200">
        <v>2.9</v>
      </c>
      <c r="Q54" s="200">
        <v>1.8</v>
      </c>
    </row>
    <row r="55" spans="1:17" ht="17.25" customHeight="1">
      <c r="A55" s="7"/>
      <c r="B55" s="29" t="s">
        <v>114</v>
      </c>
      <c r="C55" s="401" t="s">
        <v>194</v>
      </c>
      <c r="D55" s="370">
        <v>-24.8</v>
      </c>
      <c r="E55" s="370">
        <v>11</v>
      </c>
      <c r="F55" s="210">
        <v>11.6</v>
      </c>
      <c r="G55" s="210">
        <v>2</v>
      </c>
      <c r="H55" s="210">
        <v>-1.5</v>
      </c>
      <c r="I55" s="220">
        <v>-3.4</v>
      </c>
      <c r="J55" s="220">
        <f>I55</f>
        <v>-3.4</v>
      </c>
      <c r="K55" s="220">
        <v>-4.2</v>
      </c>
      <c r="L55" s="220">
        <v>-5.9</v>
      </c>
      <c r="M55" s="220">
        <v>-9</v>
      </c>
      <c r="N55" s="220">
        <v>-5.1</v>
      </c>
      <c r="O55" s="220">
        <f>N55</f>
        <v>-5.1</v>
      </c>
      <c r="P55" s="220">
        <v>-3.2</v>
      </c>
      <c r="Q55" s="220">
        <v>2</v>
      </c>
    </row>
    <row r="56" spans="1:17" ht="33.75" customHeight="1" thickBot="1">
      <c r="A56" s="7"/>
      <c r="B56" s="128" t="s">
        <v>67</v>
      </c>
      <c r="C56" s="218" t="s">
        <v>194</v>
      </c>
      <c r="D56" s="212">
        <f>+D52+D55</f>
        <v>-22.8</v>
      </c>
      <c r="E56" s="212">
        <f>+E52+E55</f>
        <v>15.9</v>
      </c>
      <c r="F56" s="212">
        <f>+F52+F55</f>
        <v>17.2</v>
      </c>
      <c r="G56" s="212">
        <f>+G52+G55</f>
        <v>7.7</v>
      </c>
      <c r="H56" s="212">
        <f>+H52+H55</f>
        <v>3.9</v>
      </c>
      <c r="I56" s="212">
        <f aca="true" t="shared" si="10" ref="I56:O56">+I52+I55</f>
        <v>1.8</v>
      </c>
      <c r="J56" s="212">
        <f t="shared" si="10"/>
        <v>1.8</v>
      </c>
      <c r="K56" s="212">
        <f t="shared" si="10"/>
        <v>0.6</v>
      </c>
      <c r="L56" s="212">
        <f t="shared" si="10"/>
        <v>-1</v>
      </c>
      <c r="M56" s="212">
        <f t="shared" si="10"/>
        <v>-4.6</v>
      </c>
      <c r="N56" s="212">
        <f t="shared" si="10"/>
        <v>-0.6</v>
      </c>
      <c r="O56" s="212">
        <f t="shared" si="10"/>
        <v>-0.6</v>
      </c>
      <c r="P56" s="212">
        <f>+P52+P55</f>
        <v>0.3</v>
      </c>
      <c r="Q56" s="212">
        <v>4.8</v>
      </c>
    </row>
    <row r="57" spans="1:17" ht="22.5" customHeight="1">
      <c r="A57" s="7"/>
      <c r="B57" s="153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 t="s">
        <v>201</v>
      </c>
      <c r="Q57" s="151" t="s">
        <v>201</v>
      </c>
    </row>
    <row r="58" spans="1:17" ht="17.2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ht="17.25" customHeight="1">
      <c r="A59" s="351"/>
      <c r="B59" s="7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</row>
    <row r="60" spans="1:17" s="18" customFormat="1" ht="17.25" customHeight="1">
      <c r="A60" s="231"/>
      <c r="B60" s="350" t="s">
        <v>204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70" ht="11.25" customHeight="1"/>
    <row r="78" ht="13.5" customHeight="1"/>
    <row r="94" ht="11.25" customHeight="1"/>
  </sheetData>
  <sheetProtection/>
  <mergeCells count="1">
    <mergeCell ref="B1:B2"/>
  </mergeCells>
  <conditionalFormatting sqref="C16:O16 C13:O13 C23:O23">
    <cfRule type="cellIs" priority="3" dxfId="0" operator="equal" stopIfTrue="1">
      <formula>"Error"</formula>
    </cfRule>
  </conditionalFormatting>
  <conditionalFormatting sqref="P13 P23 P16">
    <cfRule type="cellIs" priority="2" dxfId="0" operator="equal" stopIfTrue="1">
      <formula>"Error"</formula>
    </cfRule>
  </conditionalFormatting>
  <conditionalFormatting sqref="Q13 Q23 Q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7" r:id="rId1"/>
  <headerFooter alignWithMargins="0">
    <oddFooter>&amp;C&amp;A</oddFooter>
  </headerFooter>
  <rowBreaks count="1" manualBreakCount="1">
    <brk id="32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3" width="11.57421875" style="1" customWidth="1"/>
    <col min="24" max="16384" width="1.7109375" style="1" customWidth="1"/>
  </cols>
  <sheetData>
    <row r="1" spans="1:17" ht="21.75" customHeight="1">
      <c r="A1" s="2"/>
      <c r="B1" s="438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7.25" customHeight="1">
      <c r="A6" s="7"/>
      <c r="B6" s="13" t="s">
        <v>103</v>
      </c>
      <c r="C6" s="15"/>
      <c r="D6" s="59"/>
      <c r="E6" s="59"/>
      <c r="F6" s="15"/>
      <c r="G6" s="15"/>
      <c r="H6" s="15"/>
      <c r="I6" s="15"/>
      <c r="J6" s="59"/>
      <c r="K6" s="15"/>
      <c r="L6" s="15"/>
      <c r="M6" s="15"/>
      <c r="N6" s="15"/>
      <c r="O6" s="59"/>
      <c r="P6" s="15"/>
      <c r="Q6" s="15"/>
    </row>
    <row r="7" spans="1:17" s="18" customFormat="1" ht="17.25" customHeight="1" thickBot="1">
      <c r="A7" s="7"/>
      <c r="B7" s="28" t="s">
        <v>13</v>
      </c>
      <c r="C7" s="184">
        <v>11262</v>
      </c>
      <c r="D7" s="185">
        <v>10430</v>
      </c>
      <c r="E7" s="185">
        <v>9681</v>
      </c>
      <c r="F7" s="184">
        <v>2419</v>
      </c>
      <c r="G7" s="184">
        <v>2461</v>
      </c>
      <c r="H7" s="184">
        <v>2336</v>
      </c>
      <c r="I7" s="184">
        <v>2415</v>
      </c>
      <c r="J7" s="161">
        <f>SUM(F7:I7)</f>
        <v>9631</v>
      </c>
      <c r="K7" s="184">
        <v>2360</v>
      </c>
      <c r="L7" s="184">
        <v>2267</v>
      </c>
      <c r="M7" s="184">
        <v>2126</v>
      </c>
      <c r="N7" s="184">
        <v>2087</v>
      </c>
      <c r="O7" s="161">
        <f>SUM(K7:N7)</f>
        <v>8840</v>
      </c>
      <c r="P7" s="184">
        <v>2127</v>
      </c>
      <c r="Q7" s="184">
        <v>2217</v>
      </c>
    </row>
    <row r="8" spans="1:17" s="18" customFormat="1" ht="17.25" customHeight="1" thickBot="1">
      <c r="A8" s="7"/>
      <c r="B8" s="28" t="s">
        <v>14</v>
      </c>
      <c r="C8" s="184">
        <v>20</v>
      </c>
      <c r="D8" s="185">
        <v>141</v>
      </c>
      <c r="E8" s="185">
        <v>33</v>
      </c>
      <c r="F8" s="184">
        <v>32</v>
      </c>
      <c r="G8" s="184">
        <v>16</v>
      </c>
      <c r="H8" s="184">
        <v>8</v>
      </c>
      <c r="I8" s="184">
        <v>14</v>
      </c>
      <c r="J8" s="161">
        <f>SUM(F8:I8)</f>
        <v>70</v>
      </c>
      <c r="K8" s="184">
        <v>12</v>
      </c>
      <c r="L8" s="184">
        <v>8</v>
      </c>
      <c r="M8" s="184">
        <v>20</v>
      </c>
      <c r="N8" s="184">
        <v>38</v>
      </c>
      <c r="O8" s="161">
        <f>SUM(K8:N8)</f>
        <v>78</v>
      </c>
      <c r="P8" s="184">
        <v>21</v>
      </c>
      <c r="Q8" s="184">
        <v>28</v>
      </c>
    </row>
    <row r="9" spans="1:17" s="18" customFormat="1" ht="17.25" customHeight="1" thickBot="1">
      <c r="A9" s="7"/>
      <c r="B9" s="28" t="s">
        <v>19</v>
      </c>
      <c r="C9" s="185">
        <v>7053</v>
      </c>
      <c r="D9" s="185">
        <v>7892</v>
      </c>
      <c r="E9" s="185">
        <v>6820</v>
      </c>
      <c r="F9" s="185">
        <v>1720</v>
      </c>
      <c r="G9" s="185">
        <v>1830</v>
      </c>
      <c r="H9" s="185">
        <v>1730</v>
      </c>
      <c r="I9" s="185">
        <v>1807</v>
      </c>
      <c r="J9" s="161">
        <f>SUM(F9:I9)</f>
        <v>7087</v>
      </c>
      <c r="K9" s="185">
        <v>1751</v>
      </c>
      <c r="L9" s="185">
        <v>1682</v>
      </c>
      <c r="M9" s="185">
        <v>2115</v>
      </c>
      <c r="N9" s="185">
        <v>1750</v>
      </c>
      <c r="O9" s="161">
        <f>SUM(K9:N9)</f>
        <v>7298</v>
      </c>
      <c r="P9" s="185">
        <v>1720</v>
      </c>
      <c r="Q9" s="185">
        <v>1638</v>
      </c>
    </row>
    <row r="10" spans="1:17" s="18" customFormat="1" ht="17.25" customHeight="1" thickBot="1">
      <c r="A10" s="7"/>
      <c r="B10" s="42" t="s">
        <v>99</v>
      </c>
      <c r="C10" s="187">
        <f aca="true" t="shared" si="0" ref="C10:H10">C7-C8-C9</f>
        <v>4189</v>
      </c>
      <c r="D10" s="187">
        <f t="shared" si="0"/>
        <v>2397</v>
      </c>
      <c r="E10" s="187">
        <v>2828</v>
      </c>
      <c r="F10" s="187">
        <f t="shared" si="0"/>
        <v>667</v>
      </c>
      <c r="G10" s="187">
        <f t="shared" si="0"/>
        <v>615</v>
      </c>
      <c r="H10" s="187">
        <f t="shared" si="0"/>
        <v>598</v>
      </c>
      <c r="I10" s="187">
        <f aca="true" t="shared" si="1" ref="I10:O10">I7-I8-I9</f>
        <v>594</v>
      </c>
      <c r="J10" s="187">
        <f t="shared" si="1"/>
        <v>2474</v>
      </c>
      <c r="K10" s="187">
        <f t="shared" si="1"/>
        <v>597</v>
      </c>
      <c r="L10" s="187">
        <f t="shared" si="1"/>
        <v>577</v>
      </c>
      <c r="M10" s="187">
        <f t="shared" si="1"/>
        <v>-9</v>
      </c>
      <c r="N10" s="187">
        <f t="shared" si="1"/>
        <v>299</v>
      </c>
      <c r="O10" s="187">
        <f t="shared" si="1"/>
        <v>1464</v>
      </c>
      <c r="P10" s="187">
        <f>P7-P8-P9</f>
        <v>386</v>
      </c>
      <c r="Q10" s="187">
        <f>Q7-Q8-Q9</f>
        <v>551</v>
      </c>
    </row>
    <row r="11" spans="1:17" s="18" customFormat="1" ht="17.25" customHeight="1">
      <c r="A11" s="7"/>
      <c r="B11" s="153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17.25" customHeight="1">
      <c r="A12" s="7"/>
      <c r="B12" s="13" t="s">
        <v>104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7.25" customHeight="1">
      <c r="A13" s="7"/>
      <c r="B13" s="30" t="s">
        <v>40</v>
      </c>
      <c r="C13" s="194">
        <f aca="true" t="shared" si="2" ref="C13:H13">+C9/C7*100</f>
        <v>62.6</v>
      </c>
      <c r="D13" s="194">
        <f t="shared" si="2"/>
        <v>75.7</v>
      </c>
      <c r="E13" s="194">
        <f t="shared" si="2"/>
        <v>70.4</v>
      </c>
      <c r="F13" s="194">
        <f t="shared" si="2"/>
        <v>71.1</v>
      </c>
      <c r="G13" s="194">
        <f t="shared" si="2"/>
        <v>74.4</v>
      </c>
      <c r="H13" s="194">
        <f t="shared" si="2"/>
        <v>74.1</v>
      </c>
      <c r="I13" s="194">
        <f aca="true" t="shared" si="3" ref="I13:O13">+I9/I7*100</f>
        <v>74.8</v>
      </c>
      <c r="J13" s="194">
        <f t="shared" si="3"/>
        <v>73.6</v>
      </c>
      <c r="K13" s="194">
        <f t="shared" si="3"/>
        <v>74.2</v>
      </c>
      <c r="L13" s="194">
        <f t="shared" si="3"/>
        <v>74.2</v>
      </c>
      <c r="M13" s="194">
        <f t="shared" si="3"/>
        <v>99.5</v>
      </c>
      <c r="N13" s="194">
        <f t="shared" si="3"/>
        <v>83.9</v>
      </c>
      <c r="O13" s="194">
        <f t="shared" si="3"/>
        <v>82.6</v>
      </c>
      <c r="P13" s="194">
        <f>+P9/P7*100</f>
        <v>80.9</v>
      </c>
      <c r="Q13" s="194">
        <f>+Q9/Q7*100</f>
        <v>73.9</v>
      </c>
    </row>
    <row r="14" spans="1:17" ht="17.25" customHeight="1" thickBot="1">
      <c r="A14" s="7"/>
      <c r="B14" s="61" t="s">
        <v>41</v>
      </c>
      <c r="C14" s="195">
        <f aca="true" t="shared" si="4" ref="C14:H14">+C10/C7*100</f>
        <v>37.2</v>
      </c>
      <c r="D14" s="195">
        <f t="shared" si="4"/>
        <v>23</v>
      </c>
      <c r="E14" s="195">
        <f t="shared" si="4"/>
        <v>29.2</v>
      </c>
      <c r="F14" s="195">
        <f t="shared" si="4"/>
        <v>27.6</v>
      </c>
      <c r="G14" s="195">
        <f t="shared" si="4"/>
        <v>25</v>
      </c>
      <c r="H14" s="195">
        <f t="shared" si="4"/>
        <v>25.6</v>
      </c>
      <c r="I14" s="195">
        <f aca="true" t="shared" si="5" ref="I14:O14">+I10/I7*100</f>
        <v>24.6</v>
      </c>
      <c r="J14" s="195">
        <f t="shared" si="5"/>
        <v>25.7</v>
      </c>
      <c r="K14" s="195">
        <f t="shared" si="5"/>
        <v>25.3</v>
      </c>
      <c r="L14" s="195">
        <f t="shared" si="5"/>
        <v>25.5</v>
      </c>
      <c r="M14" s="195">
        <f t="shared" si="5"/>
        <v>-0.4</v>
      </c>
      <c r="N14" s="195">
        <f t="shared" si="5"/>
        <v>14.3</v>
      </c>
      <c r="O14" s="195">
        <f t="shared" si="5"/>
        <v>16.6</v>
      </c>
      <c r="P14" s="195">
        <f>+P10/P7*100</f>
        <v>18.1</v>
      </c>
      <c r="Q14" s="195">
        <f>+Q10/Q7*100</f>
        <v>24.9</v>
      </c>
    </row>
    <row r="15" spans="1:17" s="18" customFormat="1" ht="17.25" customHeight="1">
      <c r="A15" s="7"/>
      <c r="B15" s="153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7.25" customHeight="1">
      <c r="A16" s="7"/>
      <c r="B16" s="13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8" customFormat="1" ht="17.25" customHeight="1">
      <c r="A17" s="7"/>
      <c r="B17" s="24" t="s">
        <v>9</v>
      </c>
      <c r="C17" s="188">
        <v>3435</v>
      </c>
      <c r="D17" s="354">
        <v>3686</v>
      </c>
      <c r="E17" s="354">
        <v>3583</v>
      </c>
      <c r="F17" s="188">
        <v>897</v>
      </c>
      <c r="G17" s="188">
        <v>936</v>
      </c>
      <c r="H17" s="188">
        <v>903</v>
      </c>
      <c r="I17" s="188">
        <v>896</v>
      </c>
      <c r="J17" s="168">
        <f>SUM(F17:I17)</f>
        <v>3632</v>
      </c>
      <c r="K17" s="188">
        <v>849</v>
      </c>
      <c r="L17" s="188">
        <v>831</v>
      </c>
      <c r="M17" s="188">
        <v>794</v>
      </c>
      <c r="N17" s="188">
        <v>846</v>
      </c>
      <c r="O17" s="168">
        <f>SUM(K17:N17)</f>
        <v>3320</v>
      </c>
      <c r="P17" s="188">
        <v>828</v>
      </c>
      <c r="Q17" s="188">
        <v>860</v>
      </c>
    </row>
    <row r="18" spans="1:17" s="18" customFormat="1" ht="17.25" customHeight="1">
      <c r="A18" s="7"/>
      <c r="B18" s="16" t="s">
        <v>161</v>
      </c>
      <c r="C18" s="180">
        <v>4776</v>
      </c>
      <c r="D18" s="356">
        <v>4415</v>
      </c>
      <c r="E18" s="356">
        <v>3513</v>
      </c>
      <c r="F18" s="180">
        <v>930</v>
      </c>
      <c r="G18" s="180">
        <v>897</v>
      </c>
      <c r="H18" s="180">
        <v>867</v>
      </c>
      <c r="I18" s="180">
        <v>884</v>
      </c>
      <c r="J18" s="249">
        <f>SUM(F18:I18)</f>
        <v>3578</v>
      </c>
      <c r="K18" s="180">
        <v>876</v>
      </c>
      <c r="L18" s="180">
        <v>871</v>
      </c>
      <c r="M18" s="180">
        <v>788</v>
      </c>
      <c r="N18" s="180">
        <v>796</v>
      </c>
      <c r="O18" s="249">
        <f>SUM(K18:N18)</f>
        <v>3331</v>
      </c>
      <c r="P18" s="180">
        <v>778</v>
      </c>
      <c r="Q18" s="180">
        <v>809</v>
      </c>
    </row>
    <row r="19" spans="1:17" s="18" customFormat="1" ht="17.25" customHeight="1">
      <c r="A19" s="7"/>
      <c r="B19" s="29" t="s">
        <v>3</v>
      </c>
      <c r="C19" s="186">
        <v>3051</v>
      </c>
      <c r="D19" s="355">
        <v>2329</v>
      </c>
      <c r="E19" s="355">
        <v>2585</v>
      </c>
      <c r="F19" s="186">
        <v>592</v>
      </c>
      <c r="G19" s="186">
        <v>628</v>
      </c>
      <c r="H19" s="186">
        <v>566</v>
      </c>
      <c r="I19" s="186">
        <v>635</v>
      </c>
      <c r="J19" s="169">
        <f>SUM(F19:I19)</f>
        <v>2421</v>
      </c>
      <c r="K19" s="186">
        <v>635</v>
      </c>
      <c r="L19" s="186">
        <v>565</v>
      </c>
      <c r="M19" s="186">
        <v>544</v>
      </c>
      <c r="N19" s="186">
        <v>445</v>
      </c>
      <c r="O19" s="169">
        <f>SUM(K19:N19)</f>
        <v>2189</v>
      </c>
      <c r="P19" s="186">
        <v>521</v>
      </c>
      <c r="Q19" s="186">
        <v>548</v>
      </c>
    </row>
    <row r="20" spans="1:17" s="18" customFormat="1" ht="17.25" customHeight="1" thickBot="1">
      <c r="A20" s="40"/>
      <c r="B20" s="36" t="s">
        <v>13</v>
      </c>
      <c r="C20" s="170">
        <f aca="true" t="shared" si="6" ref="C20:N20">IF((SUM(C17:C19))=C7,SUM(C17:C19),"Error")</f>
        <v>11262</v>
      </c>
      <c r="D20" s="170">
        <f t="shared" si="6"/>
        <v>10430</v>
      </c>
      <c r="E20" s="170">
        <f t="shared" si="6"/>
        <v>9681</v>
      </c>
      <c r="F20" s="170">
        <f t="shared" si="6"/>
        <v>2419</v>
      </c>
      <c r="G20" s="170">
        <f t="shared" si="6"/>
        <v>2461</v>
      </c>
      <c r="H20" s="170">
        <f t="shared" si="6"/>
        <v>2336</v>
      </c>
      <c r="I20" s="170">
        <f t="shared" si="6"/>
        <v>2415</v>
      </c>
      <c r="J20" s="170">
        <f t="shared" si="6"/>
        <v>9631</v>
      </c>
      <c r="K20" s="170">
        <f t="shared" si="6"/>
        <v>2360</v>
      </c>
      <c r="L20" s="170">
        <f t="shared" si="6"/>
        <v>2267</v>
      </c>
      <c r="M20" s="170">
        <f t="shared" si="6"/>
        <v>2126</v>
      </c>
      <c r="N20" s="170">
        <f t="shared" si="6"/>
        <v>2087</v>
      </c>
      <c r="O20" s="170">
        <f>IF((SUM(O17:O19))=O7,SUM(O17:O19),"Error")</f>
        <v>8840</v>
      </c>
      <c r="P20" s="170">
        <f>IF((SUM(P17:P19))=P7,SUM(P17:P19),"Error")</f>
        <v>2127</v>
      </c>
      <c r="Q20" s="170">
        <f>IF((SUM(Q17:Q19))=Q7,SUM(Q17:Q19),"Error")</f>
        <v>2217</v>
      </c>
    </row>
    <row r="21" spans="1:17" s="18" customFormat="1" ht="17.25" customHeight="1">
      <c r="A21" s="7"/>
      <c r="B21" s="35"/>
      <c r="C21" s="17"/>
      <c r="D21" s="48"/>
      <c r="E21" s="48"/>
      <c r="F21" s="17"/>
      <c r="G21" s="17"/>
      <c r="H21" s="17"/>
      <c r="I21" s="17"/>
      <c r="J21" s="48"/>
      <c r="K21" s="17"/>
      <c r="L21" s="17"/>
      <c r="M21" s="17"/>
      <c r="N21" s="17"/>
      <c r="O21" s="48"/>
      <c r="P21" s="17"/>
      <c r="Q21" s="17"/>
    </row>
    <row r="22" spans="1:17" ht="17.25" customHeight="1">
      <c r="A22" s="7"/>
      <c r="B22" s="81" t="s">
        <v>152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s="18" customFormat="1" ht="17.25" customHeight="1" thickBot="1">
      <c r="A23" s="7"/>
      <c r="B23" s="238" t="s">
        <v>153</v>
      </c>
      <c r="C23" s="402" t="s">
        <v>194</v>
      </c>
      <c r="D23" s="239">
        <v>776.5</v>
      </c>
      <c r="E23" s="239">
        <v>714.7</v>
      </c>
      <c r="F23" s="239">
        <v>770.1</v>
      </c>
      <c r="G23" s="239">
        <v>792.2</v>
      </c>
      <c r="H23" s="239">
        <v>764.7</v>
      </c>
      <c r="I23" s="239">
        <v>777.7</v>
      </c>
      <c r="J23" s="239">
        <v>776.2</v>
      </c>
      <c r="K23" s="239">
        <v>775.1</v>
      </c>
      <c r="L23" s="239">
        <v>764</v>
      </c>
      <c r="M23" s="239">
        <v>711.5</v>
      </c>
      <c r="N23" s="239">
        <v>735.6</v>
      </c>
      <c r="O23" s="239">
        <v>746.5</v>
      </c>
      <c r="P23" s="239">
        <v>763.2</v>
      </c>
      <c r="Q23" s="239">
        <v>772</v>
      </c>
    </row>
    <row r="24" spans="1:17" ht="17.25" customHeight="1">
      <c r="A24" s="7"/>
      <c r="B24" s="78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17" ht="17.25" customHeight="1">
      <c r="A25" s="7"/>
      <c r="B25" s="13" t="s">
        <v>155</v>
      </c>
      <c r="C25" s="15"/>
      <c r="D25" s="15"/>
      <c r="E25" s="15"/>
      <c r="F25" s="144"/>
      <c r="G25" s="144"/>
      <c r="H25" s="144"/>
      <c r="I25" s="144"/>
      <c r="J25" s="15"/>
      <c r="K25" s="144"/>
      <c r="L25" s="144"/>
      <c r="M25" s="144"/>
      <c r="N25" s="144"/>
      <c r="O25" s="15"/>
      <c r="P25" s="144"/>
      <c r="Q25" s="144"/>
    </row>
    <row r="26" spans="1:17" ht="17.25" customHeight="1">
      <c r="A26" s="7"/>
      <c r="B26" s="24" t="s">
        <v>9</v>
      </c>
      <c r="C26" s="403" t="s">
        <v>194</v>
      </c>
      <c r="D26" s="188">
        <v>47</v>
      </c>
      <c r="E26" s="188">
        <v>50</v>
      </c>
      <c r="F26" s="246">
        <v>47</v>
      </c>
      <c r="G26" s="246">
        <v>47</v>
      </c>
      <c r="H26" s="246">
        <v>47</v>
      </c>
      <c r="I26" s="246">
        <v>46</v>
      </c>
      <c r="J26" s="188">
        <v>47</v>
      </c>
      <c r="K26" s="246">
        <v>44</v>
      </c>
      <c r="L26" s="246">
        <v>44</v>
      </c>
      <c r="M26" s="246">
        <v>45</v>
      </c>
      <c r="N26" s="246">
        <v>46</v>
      </c>
      <c r="O26" s="188">
        <v>44</v>
      </c>
      <c r="P26" s="246">
        <v>43</v>
      </c>
      <c r="Q26" s="246">
        <v>45</v>
      </c>
    </row>
    <row r="27" spans="1:17" ht="17.25" customHeight="1">
      <c r="A27" s="7"/>
      <c r="B27" s="16" t="s">
        <v>161</v>
      </c>
      <c r="C27" s="404" t="s">
        <v>194</v>
      </c>
      <c r="D27" s="180">
        <v>57</v>
      </c>
      <c r="E27" s="180">
        <v>49</v>
      </c>
      <c r="F27" s="250">
        <v>48</v>
      </c>
      <c r="G27" s="250">
        <v>45</v>
      </c>
      <c r="H27" s="250">
        <v>45</v>
      </c>
      <c r="I27" s="251">
        <v>45</v>
      </c>
      <c r="J27" s="180">
        <v>46</v>
      </c>
      <c r="K27" s="250">
        <v>45</v>
      </c>
      <c r="L27" s="251">
        <v>46</v>
      </c>
      <c r="M27" s="250">
        <v>44</v>
      </c>
      <c r="N27" s="250">
        <v>43</v>
      </c>
      <c r="O27" s="180">
        <v>45</v>
      </c>
      <c r="P27" s="251">
        <v>41</v>
      </c>
      <c r="Q27" s="250">
        <v>42</v>
      </c>
    </row>
    <row r="28" spans="1:17" ht="17.25" customHeight="1">
      <c r="A28" s="7"/>
      <c r="B28" s="29" t="s">
        <v>3</v>
      </c>
      <c r="C28" s="405" t="s">
        <v>194</v>
      </c>
      <c r="D28" s="186">
        <v>30</v>
      </c>
      <c r="E28" s="186">
        <v>36</v>
      </c>
      <c r="F28" s="189">
        <v>31</v>
      </c>
      <c r="G28" s="189">
        <v>32</v>
      </c>
      <c r="H28" s="189">
        <v>30</v>
      </c>
      <c r="I28" s="247">
        <v>33</v>
      </c>
      <c r="J28" s="186">
        <v>31</v>
      </c>
      <c r="K28" s="189">
        <v>33</v>
      </c>
      <c r="L28" s="247">
        <v>29</v>
      </c>
      <c r="M28" s="189">
        <v>31</v>
      </c>
      <c r="N28" s="189">
        <v>24</v>
      </c>
      <c r="O28" s="186">
        <v>29</v>
      </c>
      <c r="P28" s="247">
        <v>27</v>
      </c>
      <c r="Q28" s="189">
        <v>28</v>
      </c>
    </row>
    <row r="29" spans="1:17" ht="17.25" customHeight="1" thickBot="1">
      <c r="A29" s="40"/>
      <c r="B29" s="36" t="s">
        <v>4</v>
      </c>
      <c r="C29" s="170" t="s">
        <v>194</v>
      </c>
      <c r="D29" s="170">
        <f>SUM(D26:D28)</f>
        <v>134</v>
      </c>
      <c r="E29" s="170">
        <f>SUM(E26:E28)</f>
        <v>135</v>
      </c>
      <c r="F29" s="170">
        <f>SUM(F26:F28)</f>
        <v>126</v>
      </c>
      <c r="G29" s="170">
        <f>SUM(G26:G28)</f>
        <v>124</v>
      </c>
      <c r="H29" s="170">
        <v>122</v>
      </c>
      <c r="I29" s="170">
        <f aca="true" t="shared" si="7" ref="I29:O29">SUM(I26:I28)</f>
        <v>124</v>
      </c>
      <c r="J29" s="170">
        <f t="shared" si="7"/>
        <v>124</v>
      </c>
      <c r="K29" s="170">
        <f t="shared" si="7"/>
        <v>122</v>
      </c>
      <c r="L29" s="170">
        <f t="shared" si="7"/>
        <v>119</v>
      </c>
      <c r="M29" s="170">
        <f t="shared" si="7"/>
        <v>120</v>
      </c>
      <c r="N29" s="170">
        <f t="shared" si="7"/>
        <v>113</v>
      </c>
      <c r="O29" s="170">
        <f t="shared" si="7"/>
        <v>118</v>
      </c>
      <c r="P29" s="170">
        <f>SUM(P26:P28)</f>
        <v>111</v>
      </c>
      <c r="Q29" s="170">
        <f>SUM(Q26:Q28)</f>
        <v>115</v>
      </c>
    </row>
    <row r="30" spans="1:17" ht="17.25" customHeight="1">
      <c r="A30" s="145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7.2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ht="17.25" customHeight="1">
      <c r="A32" s="351"/>
      <c r="B32" s="7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</row>
    <row r="33" spans="1:17" s="18" customFormat="1" ht="17.25" customHeight="1">
      <c r="A33" s="231"/>
      <c r="B33" s="350" t="s">
        <v>204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7.25" customHeight="1">
      <c r="A34" s="230" t="s">
        <v>101</v>
      </c>
      <c r="B34" s="19" t="s">
        <v>156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</sheetData>
  <sheetProtection/>
  <mergeCells count="1">
    <mergeCell ref="B1:B2"/>
  </mergeCells>
  <conditionalFormatting sqref="C23:O23 C20:O20">
    <cfRule type="cellIs" priority="3" dxfId="0" operator="equal" stopIfTrue="1">
      <formula>"Error"</formula>
    </cfRule>
  </conditionalFormatting>
  <conditionalFormatting sqref="P23 P20">
    <cfRule type="cellIs" priority="2" dxfId="0" operator="equal" stopIfTrue="1">
      <formula>"Error"</formula>
    </cfRule>
  </conditionalFormatting>
  <conditionalFormatting sqref="Q23 Q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7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23" width="11.57421875" style="1" customWidth="1"/>
    <col min="24" max="16384" width="1.7109375" style="1" customWidth="1"/>
  </cols>
  <sheetData>
    <row r="1" spans="1:17" ht="21.75" customHeight="1">
      <c r="A1" s="2"/>
      <c r="B1" s="438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7.25" customHeight="1">
      <c r="A6" s="7"/>
      <c r="B6" s="13" t="s">
        <v>103</v>
      </c>
      <c r="C6" s="15"/>
      <c r="D6" s="59"/>
      <c r="E6" s="59"/>
      <c r="F6" s="15"/>
      <c r="G6" s="15"/>
      <c r="H6" s="15"/>
      <c r="I6" s="15"/>
      <c r="J6" s="59"/>
      <c r="K6" s="15"/>
      <c r="L6" s="15"/>
      <c r="M6" s="15"/>
      <c r="N6" s="15"/>
      <c r="O6" s="59"/>
      <c r="P6" s="15"/>
      <c r="Q6" s="15"/>
    </row>
    <row r="7" spans="1:17" s="18" customFormat="1" ht="17.25" customHeight="1" thickBot="1">
      <c r="A7" s="7"/>
      <c r="B7" s="28" t="s">
        <v>13</v>
      </c>
      <c r="C7" s="161">
        <f>+'Private Banking'!C7-WMC!C7</f>
        <v>1877</v>
      </c>
      <c r="D7" s="161">
        <f>+'Private Banking'!D7-WMC!D7</f>
        <v>2198</v>
      </c>
      <c r="E7" s="161">
        <f>+'Private Banking'!E7-WMC!E7</f>
        <v>1823</v>
      </c>
      <c r="F7" s="161">
        <f>+'Private Banking'!F7-WMC!F7</f>
        <v>442</v>
      </c>
      <c r="G7" s="161">
        <f>+'Private Banking'!G7-WMC!G7</f>
        <v>481</v>
      </c>
      <c r="H7" s="161">
        <f>+'Private Banking'!H7-WMC!H7</f>
        <v>447</v>
      </c>
      <c r="I7" s="161">
        <f>+'Private Banking'!I7-WMC!I7</f>
        <v>456</v>
      </c>
      <c r="J7" s="161">
        <f>+'Private Banking'!J7-WMC!J7</f>
        <v>1826</v>
      </c>
      <c r="K7" s="161">
        <f>+'Private Banking'!K7-WMC!K7</f>
        <v>478</v>
      </c>
      <c r="L7" s="161">
        <f>+'Private Banking'!L7-WMC!L7</f>
        <v>487</v>
      </c>
      <c r="M7" s="161">
        <f>+'Private Banking'!M7-WMC!M7</f>
        <v>474</v>
      </c>
      <c r="N7" s="161">
        <f>+'Private Banking'!N7-WMC!N7</f>
        <v>469</v>
      </c>
      <c r="O7" s="161">
        <f>+'Private Banking'!O7-WMC!O7</f>
        <v>1908</v>
      </c>
      <c r="P7" s="161">
        <f>+'Private Banking'!P7-WMC!P7</f>
        <v>477</v>
      </c>
      <c r="Q7" s="161">
        <f>+'Private Banking'!Q7-WMC!Q7</f>
        <v>487</v>
      </c>
    </row>
    <row r="8" spans="1:17" s="18" customFormat="1" ht="17.25" customHeight="1" thickBot="1">
      <c r="A8" s="7"/>
      <c r="B8" s="28" t="s">
        <v>14</v>
      </c>
      <c r="C8" s="161">
        <f>+'Private Banking'!C8-WMC!C8</f>
        <v>-79</v>
      </c>
      <c r="D8" s="161">
        <f>+'Private Banking'!D8-WMC!D8</f>
        <v>-8</v>
      </c>
      <c r="E8" s="161">
        <f>+'Private Banking'!E8-WMC!E8</f>
        <v>147</v>
      </c>
      <c r="F8" s="161">
        <f>+'Private Banking'!F8-WMC!F8</f>
        <v>-13</v>
      </c>
      <c r="G8" s="161">
        <f>+'Private Banking'!G8-WMC!G8</f>
        <v>-13</v>
      </c>
      <c r="H8" s="161">
        <f>+'Private Banking'!H8-WMC!H8</f>
        <v>-16</v>
      </c>
      <c r="I8" s="161">
        <f>+'Private Banking'!I8-WMC!I8</f>
        <v>-10</v>
      </c>
      <c r="J8" s="161">
        <f>+'Private Banking'!J8-WMC!J8</f>
        <v>-52</v>
      </c>
      <c r="K8" s="43">
        <f>+'Private Banking'!K8-WMC!K8</f>
        <v>0</v>
      </c>
      <c r="L8" s="43">
        <f>+'Private Banking'!L8-WMC!L8</f>
        <v>-10</v>
      </c>
      <c r="M8" s="43">
        <f>+'Private Banking'!M8-WMC!M8</f>
        <v>5</v>
      </c>
      <c r="N8" s="43">
        <f>+'Private Banking'!N8-WMC!N8</f>
        <v>37</v>
      </c>
      <c r="O8" s="161">
        <f>+'Private Banking'!O8-WMC!O8</f>
        <v>32</v>
      </c>
      <c r="P8" s="43">
        <f>+'Private Banking'!P8-WMC!P8</f>
        <v>19</v>
      </c>
      <c r="Q8" s="43">
        <f>+'Private Banking'!Q8-WMC!Q8</f>
        <v>11</v>
      </c>
    </row>
    <row r="9" spans="1:17" s="18" customFormat="1" ht="17.25" customHeight="1" thickBot="1">
      <c r="A9" s="7"/>
      <c r="B9" s="28" t="s">
        <v>19</v>
      </c>
      <c r="C9" s="161">
        <f>+'Private Banking'!C13-WMC!C9</f>
        <v>896</v>
      </c>
      <c r="D9" s="161">
        <f>+'Private Banking'!D13-WMC!D9</f>
        <v>900</v>
      </c>
      <c r="E9" s="161">
        <f>+'Private Banking'!E13-WMC!E9</f>
        <v>904</v>
      </c>
      <c r="F9" s="161">
        <f>+'Private Banking'!F13-WMC!F9</f>
        <v>238</v>
      </c>
      <c r="G9" s="161">
        <f>+'Private Banking'!G13-WMC!G9</f>
        <v>251</v>
      </c>
      <c r="H9" s="161">
        <f>+'Private Banking'!H13-WMC!H9</f>
        <v>237</v>
      </c>
      <c r="I9" s="161">
        <f>+'Private Banking'!I13-WMC!I9</f>
        <v>246</v>
      </c>
      <c r="J9" s="161">
        <f>+'Private Banking'!J13-WMC!J9</f>
        <v>972</v>
      </c>
      <c r="K9" s="161">
        <f>+'Private Banking'!K13-WMC!K9</f>
        <v>242</v>
      </c>
      <c r="L9" s="161">
        <f>+'Private Banking'!L13-WMC!L9</f>
        <v>239</v>
      </c>
      <c r="M9" s="161">
        <f>+'Private Banking'!M13-WMC!M9</f>
        <v>253</v>
      </c>
      <c r="N9" s="161">
        <f>+'Private Banking'!N13-WMC!N9</f>
        <v>247</v>
      </c>
      <c r="O9" s="161">
        <f>+'Private Banking'!O13-WMC!O9</f>
        <v>981</v>
      </c>
      <c r="P9" s="161">
        <f>+'Private Banking'!P13-WMC!P9</f>
        <v>238</v>
      </c>
      <c r="Q9" s="161">
        <f>+'Private Banking'!Q13-WMC!Q9</f>
        <v>252</v>
      </c>
    </row>
    <row r="10" spans="1:17" s="18" customFormat="1" ht="17.25" customHeight="1" thickBot="1">
      <c r="A10" s="7"/>
      <c r="B10" s="42" t="s">
        <v>99</v>
      </c>
      <c r="C10" s="187">
        <f aca="true" t="shared" si="0" ref="C10:H10">C7-C8-C9</f>
        <v>1060</v>
      </c>
      <c r="D10" s="187">
        <f t="shared" si="0"/>
        <v>1306</v>
      </c>
      <c r="E10" s="187">
        <f t="shared" si="0"/>
        <v>772</v>
      </c>
      <c r="F10" s="187">
        <f t="shared" si="0"/>
        <v>217</v>
      </c>
      <c r="G10" s="187">
        <f t="shared" si="0"/>
        <v>243</v>
      </c>
      <c r="H10" s="187">
        <f t="shared" si="0"/>
        <v>226</v>
      </c>
      <c r="I10" s="187">
        <f aca="true" t="shared" si="1" ref="I10:O10">I7-I8-I9</f>
        <v>220</v>
      </c>
      <c r="J10" s="187">
        <f t="shared" si="1"/>
        <v>906</v>
      </c>
      <c r="K10" s="187">
        <f t="shared" si="1"/>
        <v>236</v>
      </c>
      <c r="L10" s="187">
        <f t="shared" si="1"/>
        <v>258</v>
      </c>
      <c r="M10" s="187">
        <f t="shared" si="1"/>
        <v>216</v>
      </c>
      <c r="N10" s="187">
        <f t="shared" si="1"/>
        <v>185</v>
      </c>
      <c r="O10" s="187">
        <f t="shared" si="1"/>
        <v>895</v>
      </c>
      <c r="P10" s="187">
        <f>P7-P8-P9</f>
        <v>220</v>
      </c>
      <c r="Q10" s="187">
        <f>Q7-Q8-Q9</f>
        <v>224</v>
      </c>
    </row>
    <row r="11" spans="1:17" ht="17.25" customHeight="1">
      <c r="A11" s="7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7.25" customHeight="1">
      <c r="A12" s="7"/>
      <c r="B12" s="13" t="s">
        <v>104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7.25" customHeight="1">
      <c r="A13" s="7"/>
      <c r="B13" s="30" t="s">
        <v>40</v>
      </c>
      <c r="C13" s="194">
        <f aca="true" t="shared" si="2" ref="C13:H13">+C9/C7*100</f>
        <v>47.7</v>
      </c>
      <c r="D13" s="194">
        <f t="shared" si="2"/>
        <v>40.9</v>
      </c>
      <c r="E13" s="194">
        <f t="shared" si="2"/>
        <v>49.6</v>
      </c>
      <c r="F13" s="194">
        <f t="shared" si="2"/>
        <v>53.8</v>
      </c>
      <c r="G13" s="194">
        <f t="shared" si="2"/>
        <v>52.2</v>
      </c>
      <c r="H13" s="194">
        <f t="shared" si="2"/>
        <v>53</v>
      </c>
      <c r="I13" s="194">
        <f aca="true" t="shared" si="3" ref="I13:O13">+I9/I7*100</f>
        <v>53.9</v>
      </c>
      <c r="J13" s="194">
        <f t="shared" si="3"/>
        <v>53.2</v>
      </c>
      <c r="K13" s="194">
        <f t="shared" si="3"/>
        <v>50.6</v>
      </c>
      <c r="L13" s="194">
        <f t="shared" si="3"/>
        <v>49.1</v>
      </c>
      <c r="M13" s="194">
        <f t="shared" si="3"/>
        <v>53.4</v>
      </c>
      <c r="N13" s="194">
        <f t="shared" si="3"/>
        <v>52.7</v>
      </c>
      <c r="O13" s="194">
        <f t="shared" si="3"/>
        <v>51.4</v>
      </c>
      <c r="P13" s="194">
        <f>+P9/P7*100</f>
        <v>49.9</v>
      </c>
      <c r="Q13" s="194">
        <f>+Q9/Q7*100</f>
        <v>51.7</v>
      </c>
    </row>
    <row r="14" spans="1:17" ht="17.25" customHeight="1" thickBot="1">
      <c r="A14" s="7"/>
      <c r="B14" s="61" t="s">
        <v>41</v>
      </c>
      <c r="C14" s="195">
        <f aca="true" t="shared" si="4" ref="C14:H14">+C10/C7*100</f>
        <v>56.5</v>
      </c>
      <c r="D14" s="195">
        <f t="shared" si="4"/>
        <v>59.4</v>
      </c>
      <c r="E14" s="195">
        <f t="shared" si="4"/>
        <v>42.3</v>
      </c>
      <c r="F14" s="195">
        <f t="shared" si="4"/>
        <v>49.1</v>
      </c>
      <c r="G14" s="195">
        <f t="shared" si="4"/>
        <v>50.5</v>
      </c>
      <c r="H14" s="195">
        <f t="shared" si="4"/>
        <v>50.6</v>
      </c>
      <c r="I14" s="195">
        <f aca="true" t="shared" si="5" ref="I14:O14">+I10/I7*100</f>
        <v>48.2</v>
      </c>
      <c r="J14" s="195">
        <f t="shared" si="5"/>
        <v>49.6</v>
      </c>
      <c r="K14" s="195">
        <f t="shared" si="5"/>
        <v>49.4</v>
      </c>
      <c r="L14" s="195">
        <f t="shared" si="5"/>
        <v>53</v>
      </c>
      <c r="M14" s="195">
        <f t="shared" si="5"/>
        <v>45.6</v>
      </c>
      <c r="N14" s="195">
        <f t="shared" si="5"/>
        <v>39.4</v>
      </c>
      <c r="O14" s="195">
        <f t="shared" si="5"/>
        <v>46.9</v>
      </c>
      <c r="P14" s="195">
        <f>+P10/P7*100</f>
        <v>46.1</v>
      </c>
      <c r="Q14" s="195">
        <f>+Q10/Q7*100</f>
        <v>46</v>
      </c>
    </row>
    <row r="15" spans="1:17" ht="17.25" customHeight="1">
      <c r="A15" s="7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17.25" customHeight="1">
      <c r="A16" s="7"/>
      <c r="B16" s="13" t="s">
        <v>30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8" customFormat="1" ht="17.25" customHeight="1">
      <c r="A17" s="7"/>
      <c r="B17" s="24" t="s">
        <v>9</v>
      </c>
      <c r="C17" s="168">
        <f>+'Private Banking'!C30-WMC!C17</f>
        <v>1200</v>
      </c>
      <c r="D17" s="168">
        <f>+'Private Banking'!D30-WMC!D17</f>
        <v>1410</v>
      </c>
      <c r="E17" s="168">
        <f>+'Private Banking'!E30-WMC!E17</f>
        <v>1302</v>
      </c>
      <c r="F17" s="168">
        <f>+'Private Banking'!F30-WMC!F17</f>
        <v>294</v>
      </c>
      <c r="G17" s="168">
        <f>+'Private Banking'!G30-WMC!G17</f>
        <v>303</v>
      </c>
      <c r="H17" s="168">
        <f>+'Private Banking'!H30-WMC!H17</f>
        <v>290</v>
      </c>
      <c r="I17" s="168">
        <f>+'Private Banking'!I30-WMC!I17</f>
        <v>302</v>
      </c>
      <c r="J17" s="168">
        <f>+'Private Banking'!J30-WMC!J17</f>
        <v>1189</v>
      </c>
      <c r="K17" s="168">
        <f>+'Private Banking'!K30-WMC!K17</f>
        <v>297</v>
      </c>
      <c r="L17" s="168">
        <f>+'Private Banking'!L30-WMC!L17</f>
        <v>297</v>
      </c>
      <c r="M17" s="168">
        <f>+'Private Banking'!M30-WMC!M17</f>
        <v>288</v>
      </c>
      <c r="N17" s="168">
        <f>+'Private Banking'!N30-WMC!N17</f>
        <v>304</v>
      </c>
      <c r="O17" s="168">
        <f>+'Private Banking'!O30-WMC!O17</f>
        <v>1186</v>
      </c>
      <c r="P17" s="168">
        <f>+'Private Banking'!P30-WMC!P17</f>
        <v>298</v>
      </c>
      <c r="Q17" s="168">
        <f>+'Private Banking'!Q30-WMC!Q17</f>
        <v>305</v>
      </c>
    </row>
    <row r="18" spans="1:17" s="18" customFormat="1" ht="17.25" customHeight="1">
      <c r="A18" s="7"/>
      <c r="B18" s="16" t="s">
        <v>161</v>
      </c>
      <c r="C18" s="252">
        <f>+'Private Banking'!C31-WMC!C18</f>
        <v>423</v>
      </c>
      <c r="D18" s="252">
        <f>+'Private Banking'!D31-WMC!D18</f>
        <v>417</v>
      </c>
      <c r="E18" s="252">
        <f>+'Private Banking'!E31-WMC!E18</f>
        <v>393</v>
      </c>
      <c r="F18" s="252">
        <f>+'Private Banking'!F31-WMC!F18</f>
        <v>105</v>
      </c>
      <c r="G18" s="252">
        <f>+'Private Banking'!G31-WMC!G18</f>
        <v>110</v>
      </c>
      <c r="H18" s="252">
        <f>+'Private Banking'!H31-WMC!H18</f>
        <v>115</v>
      </c>
      <c r="I18" s="252">
        <f>+'Private Banking'!I31-WMC!I18</f>
        <v>116</v>
      </c>
      <c r="J18" s="252">
        <f>+'Private Banking'!J31-WMC!J18</f>
        <v>446</v>
      </c>
      <c r="K18" s="252">
        <f>+'Private Banking'!K31-WMC!K18</f>
        <v>110</v>
      </c>
      <c r="L18" s="252">
        <f>+'Private Banking'!L31-WMC!L18</f>
        <v>115</v>
      </c>
      <c r="M18" s="252">
        <f>+'Private Banking'!M31-WMC!M18</f>
        <v>100</v>
      </c>
      <c r="N18" s="252">
        <f>+'Private Banking'!N31-WMC!N18</f>
        <v>96</v>
      </c>
      <c r="O18" s="252">
        <f>+'Private Banking'!O31-WMC!O18</f>
        <v>421</v>
      </c>
      <c r="P18" s="252">
        <f>+'Private Banking'!P31-WMC!P18</f>
        <v>115</v>
      </c>
      <c r="Q18" s="252">
        <f>+'Private Banking'!Q31-WMC!Q18</f>
        <v>115</v>
      </c>
    </row>
    <row r="19" spans="1:17" s="18" customFormat="1" ht="17.25" customHeight="1">
      <c r="A19" s="7"/>
      <c r="B19" s="29" t="s">
        <v>3</v>
      </c>
      <c r="C19" s="169">
        <f>+'Private Banking'!C32-WMC!C19</f>
        <v>254</v>
      </c>
      <c r="D19" s="169">
        <f>+'Private Banking'!D32-WMC!D19</f>
        <v>371</v>
      </c>
      <c r="E19" s="169">
        <f>+'Private Banking'!E32-WMC!E19</f>
        <v>128</v>
      </c>
      <c r="F19" s="169">
        <f>+'Private Banking'!F32-WMC!F19</f>
        <v>43</v>
      </c>
      <c r="G19" s="169">
        <f>+'Private Banking'!G32-WMC!G19</f>
        <v>68</v>
      </c>
      <c r="H19" s="169">
        <f>+'Private Banking'!H32-WMC!H19</f>
        <v>42</v>
      </c>
      <c r="I19" s="169">
        <f>+'Private Banking'!I32-WMC!I19</f>
        <v>38</v>
      </c>
      <c r="J19" s="169">
        <f>+'Private Banking'!J32-WMC!J19</f>
        <v>191</v>
      </c>
      <c r="K19" s="169">
        <f>+'Private Banking'!K32-WMC!K19</f>
        <v>71</v>
      </c>
      <c r="L19" s="169">
        <f>+'Private Banking'!L32-WMC!L19</f>
        <v>75</v>
      </c>
      <c r="M19" s="169">
        <f>+'Private Banking'!M32-WMC!M19</f>
        <v>86</v>
      </c>
      <c r="N19" s="169">
        <f>+'Private Banking'!N32-WMC!N19</f>
        <v>69</v>
      </c>
      <c r="O19" s="169">
        <f>+'Private Banking'!O32-WMC!O19</f>
        <v>301</v>
      </c>
      <c r="P19" s="169">
        <f>+'Private Banking'!P32-WMC!P19</f>
        <v>64</v>
      </c>
      <c r="Q19" s="169">
        <f>+'Private Banking'!Q32-WMC!Q19</f>
        <v>67</v>
      </c>
    </row>
    <row r="20" spans="1:17" s="18" customFormat="1" ht="17.25" customHeight="1" thickBot="1">
      <c r="A20" s="40"/>
      <c r="B20" s="36" t="s">
        <v>13</v>
      </c>
      <c r="C20" s="170">
        <f>IF((SUM(C17:C19))=C7,SUM(C17:C19),"Error")</f>
        <v>1877</v>
      </c>
      <c r="D20" s="170">
        <f aca="true" t="shared" si="6" ref="D20:O20">IF((SUM(D17:D19))=D7,SUM(D17:D19),"Error")</f>
        <v>2198</v>
      </c>
      <c r="E20" s="170">
        <f t="shared" si="6"/>
        <v>1823</v>
      </c>
      <c r="F20" s="170">
        <f>IF((SUM(F17:F19))=F7,SUM(F17:F19),"Error")</f>
        <v>442</v>
      </c>
      <c r="G20" s="170">
        <f t="shared" si="6"/>
        <v>481</v>
      </c>
      <c r="H20" s="170">
        <f t="shared" si="6"/>
        <v>447</v>
      </c>
      <c r="I20" s="170">
        <f t="shared" si="6"/>
        <v>456</v>
      </c>
      <c r="J20" s="170">
        <f t="shared" si="6"/>
        <v>1826</v>
      </c>
      <c r="K20" s="170">
        <f t="shared" si="6"/>
        <v>478</v>
      </c>
      <c r="L20" s="170">
        <f t="shared" si="6"/>
        <v>487</v>
      </c>
      <c r="M20" s="170">
        <f t="shared" si="6"/>
        <v>474</v>
      </c>
      <c r="N20" s="170">
        <f t="shared" si="6"/>
        <v>469</v>
      </c>
      <c r="O20" s="170">
        <f t="shared" si="6"/>
        <v>1908</v>
      </c>
      <c r="P20" s="170">
        <f>IF((SUM(P17:P19))=P7,SUM(P17:P19),"Error")</f>
        <v>477</v>
      </c>
      <c r="Q20" s="170">
        <f>IF((SUM(Q17:Q19))=Q7,SUM(Q17:Q19),"Error")</f>
        <v>487</v>
      </c>
    </row>
    <row r="21" spans="1:17" ht="17.25" customHeight="1">
      <c r="A21" s="145"/>
      <c r="B21" s="19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7.2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ht="15" customHeight="1">
      <c r="A23" s="145"/>
      <c r="B23" s="19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7" s="18" customFormat="1" ht="17.25" customHeight="1">
      <c r="A24" s="230"/>
      <c r="B24" s="350" t="s">
        <v>204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30" ht="11.25" customHeight="1"/>
    <row r="38" ht="13.5" customHeight="1"/>
    <row r="54" ht="11.25" customHeight="1"/>
  </sheetData>
  <sheetProtection/>
  <mergeCells count="1">
    <mergeCell ref="B1:B2"/>
  </mergeCells>
  <conditionalFormatting sqref="C20:O20">
    <cfRule type="cellIs" priority="3" dxfId="0" operator="equal" stopIfTrue="1">
      <formula>"Error"</formula>
    </cfRule>
  </conditionalFormatting>
  <conditionalFormatting sqref="P20">
    <cfRule type="cellIs" priority="2" dxfId="0" operator="equal" stopIfTrue="1">
      <formula>"Error"</formula>
    </cfRule>
  </conditionalFormatting>
  <conditionalFormatting sqref="Q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fitToWidth="1" horizontalDpi="600" verticalDpi="600" orientation="landscape" pageOrder="overThenDown" paperSize="9" scale="67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3" width="11.57421875" style="1" customWidth="1" collapsed="1"/>
    <col min="4" max="17" width="11.57421875" style="1" customWidth="1"/>
    <col min="18" max="16384" width="1.7109375" style="1" customWidth="1"/>
  </cols>
  <sheetData>
    <row r="1" spans="1:17" ht="21.75" customHeight="1">
      <c r="A1" s="2"/>
      <c r="B1" s="438" t="s">
        <v>139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12"/>
      <c r="Q1" s="312"/>
    </row>
    <row r="2" spans="1:17" ht="21.75" customHeight="1">
      <c r="A2" s="4"/>
      <c r="B2" s="437"/>
      <c r="C2" s="6">
        <v>2007</v>
      </c>
      <c r="D2" s="6">
        <v>2008</v>
      </c>
      <c r="E2" s="6">
        <v>2009</v>
      </c>
      <c r="F2" s="5" t="s">
        <v>145</v>
      </c>
      <c r="G2" s="5" t="s">
        <v>154</v>
      </c>
      <c r="H2" s="5" t="s">
        <v>157</v>
      </c>
      <c r="I2" s="5" t="s">
        <v>158</v>
      </c>
      <c r="J2" s="6">
        <v>2010</v>
      </c>
      <c r="K2" s="5" t="s">
        <v>160</v>
      </c>
      <c r="L2" s="5" t="s">
        <v>193</v>
      </c>
      <c r="M2" s="5" t="s">
        <v>197</v>
      </c>
      <c r="N2" s="5" t="s">
        <v>198</v>
      </c>
      <c r="O2" s="6">
        <v>2011</v>
      </c>
      <c r="P2" s="5" t="s">
        <v>200</v>
      </c>
      <c r="Q2" s="5" t="s">
        <v>203</v>
      </c>
    </row>
    <row r="3" spans="1:17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thickBot="1">
      <c r="A4" s="7"/>
      <c r="B4" s="9" t="s">
        <v>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7.25" customHeight="1">
      <c r="A6" s="7"/>
      <c r="B6" s="13" t="s">
        <v>30</v>
      </c>
      <c r="C6" s="232"/>
      <c r="D6" s="232"/>
      <c r="E6" s="11"/>
      <c r="F6" s="232"/>
      <c r="G6" s="232"/>
      <c r="H6" s="232"/>
      <c r="I6" s="11"/>
      <c r="J6" s="11"/>
      <c r="K6" s="232"/>
      <c r="L6" s="232"/>
      <c r="M6" s="232"/>
      <c r="N6" s="232"/>
      <c r="O6" s="11"/>
      <c r="P6" s="232"/>
      <c r="Q6" s="232"/>
    </row>
    <row r="7" spans="1:17" s="18" customFormat="1" ht="17.25" customHeight="1">
      <c r="A7" s="7"/>
      <c r="B7" s="24" t="s">
        <v>31</v>
      </c>
      <c r="C7" s="336">
        <v>1900</v>
      </c>
      <c r="D7" s="336">
        <v>431</v>
      </c>
      <c r="E7" s="323">
        <v>1141</v>
      </c>
      <c r="F7" s="109">
        <v>452</v>
      </c>
      <c r="G7" s="109">
        <v>460</v>
      </c>
      <c r="H7" s="109">
        <v>509</v>
      </c>
      <c r="I7" s="109">
        <v>594</v>
      </c>
      <c r="J7" s="46">
        <f>SUM(F7:I7)</f>
        <v>2015</v>
      </c>
      <c r="K7" s="109">
        <v>501</v>
      </c>
      <c r="L7" s="109">
        <v>399</v>
      </c>
      <c r="M7" s="109">
        <v>312</v>
      </c>
      <c r="N7" s="109">
        <v>229</v>
      </c>
      <c r="O7" s="46">
        <f aca="true" t="shared" si="0" ref="O7:O15">SUM(K7:N7)</f>
        <v>1441</v>
      </c>
      <c r="P7" s="109">
        <v>428</v>
      </c>
      <c r="Q7" s="109">
        <v>312</v>
      </c>
    </row>
    <row r="8" spans="1:17" s="18" customFormat="1" ht="17.25" customHeight="1">
      <c r="A8" s="7"/>
      <c r="B8" s="29" t="s">
        <v>32</v>
      </c>
      <c r="C8" s="330">
        <v>1519</v>
      </c>
      <c r="D8" s="330">
        <v>856</v>
      </c>
      <c r="E8" s="330">
        <v>1190</v>
      </c>
      <c r="F8" s="117">
        <v>219</v>
      </c>
      <c r="G8" s="117">
        <v>216</v>
      </c>
      <c r="H8" s="117">
        <v>169</v>
      </c>
      <c r="I8" s="117">
        <v>297</v>
      </c>
      <c r="J8" s="56">
        <f aca="true" t="shared" si="1" ref="J8:J15">SUM(F8:I8)</f>
        <v>901</v>
      </c>
      <c r="K8" s="117">
        <v>201</v>
      </c>
      <c r="L8" s="117">
        <v>294</v>
      </c>
      <c r="M8" s="117">
        <v>113</v>
      </c>
      <c r="N8" s="117">
        <v>111</v>
      </c>
      <c r="O8" s="56">
        <f t="shared" si="0"/>
        <v>719</v>
      </c>
      <c r="P8" s="117">
        <v>120</v>
      </c>
      <c r="Q8" s="117">
        <v>97</v>
      </c>
    </row>
    <row r="9" spans="1:17" s="18" customFormat="1" ht="17.25" customHeight="1">
      <c r="A9" s="7"/>
      <c r="B9" s="30" t="s">
        <v>33</v>
      </c>
      <c r="C9" s="53">
        <f aca="true" t="shared" si="2" ref="C9:H9">+C7+C8</f>
        <v>3419</v>
      </c>
      <c r="D9" s="53">
        <f t="shared" si="2"/>
        <v>1287</v>
      </c>
      <c r="E9" s="53">
        <f t="shared" si="2"/>
        <v>2331</v>
      </c>
      <c r="F9" s="53">
        <f t="shared" si="2"/>
        <v>671</v>
      </c>
      <c r="G9" s="53">
        <f t="shared" si="2"/>
        <v>676</v>
      </c>
      <c r="H9" s="53">
        <f t="shared" si="2"/>
        <v>678</v>
      </c>
      <c r="I9" s="53">
        <v>891</v>
      </c>
      <c r="J9" s="53">
        <f t="shared" si="1"/>
        <v>2916</v>
      </c>
      <c r="K9" s="53">
        <f>+K7+K8</f>
        <v>702</v>
      </c>
      <c r="L9" s="53">
        <f>+L7+L8</f>
        <v>693</v>
      </c>
      <c r="M9" s="53">
        <f>+M7+M8</f>
        <v>425</v>
      </c>
      <c r="N9" s="53">
        <f>+N7+N8</f>
        <v>340</v>
      </c>
      <c r="O9" s="53">
        <f t="shared" si="0"/>
        <v>2160</v>
      </c>
      <c r="P9" s="53">
        <f>+P7+P8</f>
        <v>548</v>
      </c>
      <c r="Q9" s="53">
        <f>+Q7+Q8</f>
        <v>409</v>
      </c>
    </row>
    <row r="10" spans="1:17" s="18" customFormat="1" ht="17.25" customHeight="1">
      <c r="A10" s="7"/>
      <c r="B10" s="30" t="s">
        <v>34</v>
      </c>
      <c r="C10" s="324">
        <v>1879</v>
      </c>
      <c r="D10" s="324">
        <v>1348</v>
      </c>
      <c r="E10" s="324">
        <v>793</v>
      </c>
      <c r="F10" s="111">
        <v>216</v>
      </c>
      <c r="G10" s="111">
        <v>312</v>
      </c>
      <c r="H10" s="111">
        <v>212</v>
      </c>
      <c r="I10" s="111">
        <v>350</v>
      </c>
      <c r="J10" s="53">
        <f t="shared" si="1"/>
        <v>1090</v>
      </c>
      <c r="K10" s="111">
        <v>228</v>
      </c>
      <c r="L10" s="111">
        <v>272</v>
      </c>
      <c r="M10" s="111">
        <v>181</v>
      </c>
      <c r="N10" s="111">
        <v>176</v>
      </c>
      <c r="O10" s="53">
        <f t="shared" si="0"/>
        <v>857</v>
      </c>
      <c r="P10" s="111">
        <v>213</v>
      </c>
      <c r="Q10" s="111">
        <v>235</v>
      </c>
    </row>
    <row r="11" spans="1:17" s="18" customFormat="1" ht="17.25" customHeight="1" thickBot="1">
      <c r="A11" s="7"/>
      <c r="B11" s="28" t="s">
        <v>35</v>
      </c>
      <c r="C11" s="43">
        <f aca="true" t="shared" si="3" ref="C11:I11">SUM(C9:C10)</f>
        <v>5298</v>
      </c>
      <c r="D11" s="43">
        <f t="shared" si="3"/>
        <v>2635</v>
      </c>
      <c r="E11" s="43">
        <f t="shared" si="3"/>
        <v>3124</v>
      </c>
      <c r="F11" s="43">
        <f t="shared" si="3"/>
        <v>887</v>
      </c>
      <c r="G11" s="43">
        <f t="shared" si="3"/>
        <v>988</v>
      </c>
      <c r="H11" s="43">
        <f t="shared" si="3"/>
        <v>890</v>
      </c>
      <c r="I11" s="43">
        <f t="shared" si="3"/>
        <v>1241</v>
      </c>
      <c r="J11" s="43">
        <f t="shared" si="1"/>
        <v>4006</v>
      </c>
      <c r="K11" s="43">
        <f>SUM(K9:K10)</f>
        <v>930</v>
      </c>
      <c r="L11" s="43">
        <f>SUM(L9:L10)</f>
        <v>965</v>
      </c>
      <c r="M11" s="43">
        <f>SUM(M9:M10)</f>
        <v>606</v>
      </c>
      <c r="N11" s="43">
        <f>SUM(N9:N10)</f>
        <v>516</v>
      </c>
      <c r="O11" s="43">
        <f t="shared" si="0"/>
        <v>3017</v>
      </c>
      <c r="P11" s="43">
        <f>SUM(P9:P10)</f>
        <v>761</v>
      </c>
      <c r="Q11" s="43">
        <f>SUM(Q9:Q10)</f>
        <v>644</v>
      </c>
    </row>
    <row r="12" spans="1:17" s="18" customFormat="1" ht="17.25" customHeight="1">
      <c r="A12" s="7"/>
      <c r="B12" s="19" t="s">
        <v>146</v>
      </c>
      <c r="C12" s="45">
        <v>4709</v>
      </c>
      <c r="D12" s="317">
        <v>-9548</v>
      </c>
      <c r="E12" s="317">
        <v>11186</v>
      </c>
      <c r="F12" s="108">
        <v>2735</v>
      </c>
      <c r="G12" s="108">
        <v>1444</v>
      </c>
      <c r="H12" s="108">
        <v>1567</v>
      </c>
      <c r="I12" s="108">
        <v>937</v>
      </c>
      <c r="J12" s="45">
        <f>SUM(F12:I12)</f>
        <v>6683</v>
      </c>
      <c r="K12" s="108">
        <v>2568</v>
      </c>
      <c r="L12" s="108">
        <v>607</v>
      </c>
      <c r="M12" s="108">
        <v>538</v>
      </c>
      <c r="N12" s="108">
        <v>-102</v>
      </c>
      <c r="O12" s="45">
        <f t="shared" si="0"/>
        <v>3611</v>
      </c>
      <c r="P12" s="108">
        <v>2033</v>
      </c>
      <c r="Q12" s="108">
        <v>1190</v>
      </c>
    </row>
    <row r="13" spans="1:17" s="18" customFormat="1" ht="17.25" customHeight="1">
      <c r="A13" s="7"/>
      <c r="B13" s="27" t="s">
        <v>147</v>
      </c>
      <c r="C13" s="47">
        <v>7690</v>
      </c>
      <c r="D13" s="321">
        <v>1015</v>
      </c>
      <c r="E13" s="321">
        <v>7501</v>
      </c>
      <c r="F13" s="110">
        <v>1722</v>
      </c>
      <c r="G13" s="110">
        <v>1672</v>
      </c>
      <c r="H13" s="110">
        <v>1209</v>
      </c>
      <c r="I13" s="110">
        <v>1387</v>
      </c>
      <c r="J13" s="47">
        <f t="shared" si="1"/>
        <v>5990</v>
      </c>
      <c r="K13" s="110">
        <v>1612</v>
      </c>
      <c r="L13" s="110">
        <v>1251</v>
      </c>
      <c r="M13" s="110">
        <v>894</v>
      </c>
      <c r="N13" s="110">
        <v>745</v>
      </c>
      <c r="O13" s="47">
        <f t="shared" si="0"/>
        <v>4502</v>
      </c>
      <c r="P13" s="110">
        <v>1411</v>
      </c>
      <c r="Q13" s="110">
        <v>1150</v>
      </c>
    </row>
    <row r="14" spans="1:17" s="18" customFormat="1" ht="17.25" customHeight="1" thickBot="1">
      <c r="A14" s="7"/>
      <c r="B14" s="28" t="s">
        <v>148</v>
      </c>
      <c r="C14" s="43">
        <f aca="true" t="shared" si="4" ref="C14:I14">SUM(C12:C13)</f>
        <v>12399</v>
      </c>
      <c r="D14" s="43">
        <f t="shared" si="4"/>
        <v>-8533</v>
      </c>
      <c r="E14" s="43">
        <f t="shared" si="4"/>
        <v>18687</v>
      </c>
      <c r="F14" s="43">
        <f t="shared" si="4"/>
        <v>4457</v>
      </c>
      <c r="G14" s="43">
        <f t="shared" si="4"/>
        <v>3116</v>
      </c>
      <c r="H14" s="43">
        <f t="shared" si="4"/>
        <v>2776</v>
      </c>
      <c r="I14" s="43">
        <f t="shared" si="4"/>
        <v>2324</v>
      </c>
      <c r="J14" s="43">
        <f t="shared" si="1"/>
        <v>12673</v>
      </c>
      <c r="K14" s="43">
        <f>SUM(K12:K13)</f>
        <v>4180</v>
      </c>
      <c r="L14" s="43">
        <f>SUM(L12:L13)</f>
        <v>1858</v>
      </c>
      <c r="M14" s="43">
        <f>SUM(M12:M13)</f>
        <v>1432</v>
      </c>
      <c r="N14" s="43">
        <f>SUM(N12:N13)</f>
        <v>643</v>
      </c>
      <c r="O14" s="43">
        <f t="shared" si="0"/>
        <v>8113</v>
      </c>
      <c r="P14" s="43">
        <f>SUM(P12:P13)</f>
        <v>3444</v>
      </c>
      <c r="Q14" s="43">
        <f>SUM(Q12:Q13)</f>
        <v>2340</v>
      </c>
    </row>
    <row r="15" spans="1:17" s="18" customFormat="1" ht="17.25" customHeight="1">
      <c r="A15" s="7"/>
      <c r="B15" s="30" t="s">
        <v>6</v>
      </c>
      <c r="C15" s="71">
        <v>-155</v>
      </c>
      <c r="D15" s="374">
        <v>-707</v>
      </c>
      <c r="E15" s="71">
        <v>-514</v>
      </c>
      <c r="F15" s="119">
        <v>-28</v>
      </c>
      <c r="G15" s="119">
        <v>-50</v>
      </c>
      <c r="H15" s="119">
        <v>-7</v>
      </c>
      <c r="I15" s="119">
        <v>-39</v>
      </c>
      <c r="J15" s="71">
        <f t="shared" si="1"/>
        <v>-124</v>
      </c>
      <c r="K15" s="119">
        <v>-23</v>
      </c>
      <c r="L15" s="119">
        <v>-6</v>
      </c>
      <c r="M15" s="119">
        <v>-57</v>
      </c>
      <c r="N15" s="119">
        <v>-58</v>
      </c>
      <c r="O15" s="71">
        <f t="shared" si="0"/>
        <v>-144</v>
      </c>
      <c r="P15" s="119">
        <v>-46</v>
      </c>
      <c r="Q15" s="119">
        <v>-75</v>
      </c>
    </row>
    <row r="16" spans="1:17" s="18" customFormat="1" ht="17.25" customHeight="1" thickBot="1">
      <c r="A16" s="7"/>
      <c r="B16" s="28" t="s">
        <v>13</v>
      </c>
      <c r="C16" s="43">
        <f aca="true" t="shared" si="5" ref="C16:H16">IF((+C11+C14+C15)=C19,(+C11+C14+C15),"Error")</f>
        <v>17542</v>
      </c>
      <c r="D16" s="43">
        <f t="shared" si="5"/>
        <v>-6605</v>
      </c>
      <c r="E16" s="43">
        <f t="shared" si="5"/>
        <v>21297</v>
      </c>
      <c r="F16" s="43">
        <f t="shared" si="5"/>
        <v>5316</v>
      </c>
      <c r="G16" s="43">
        <f t="shared" si="5"/>
        <v>4054</v>
      </c>
      <c r="H16" s="43">
        <f t="shared" si="5"/>
        <v>3659</v>
      </c>
      <c r="I16" s="43">
        <f aca="true" t="shared" si="6" ref="I16:O16">IF((+I11+I14+I15)=I19,(+I11+I14+I15),"Error")</f>
        <v>3526</v>
      </c>
      <c r="J16" s="43">
        <f t="shared" si="6"/>
        <v>16555</v>
      </c>
      <c r="K16" s="43">
        <f t="shared" si="6"/>
        <v>5087</v>
      </c>
      <c r="L16" s="43">
        <f t="shared" si="6"/>
        <v>2817</v>
      </c>
      <c r="M16" s="43">
        <f t="shared" si="6"/>
        <v>1981</v>
      </c>
      <c r="N16" s="43">
        <f>IF((+N11+N14+N15)=N19,(+N11+N14+N15),"Error")</f>
        <v>1101</v>
      </c>
      <c r="O16" s="43">
        <f t="shared" si="6"/>
        <v>10986</v>
      </c>
      <c r="P16" s="43">
        <f>IF((+P11+P14+P15)=P19,(+P11+P14+P15),"Error")</f>
        <v>4159</v>
      </c>
      <c r="Q16" s="43">
        <f>IF((+Q11+Q14+Q15)=Q19,(+Q11+Q14+Q15),"Error")</f>
        <v>2909</v>
      </c>
    </row>
    <row r="17" spans="1:17" ht="17.25" customHeight="1">
      <c r="A17" s="7"/>
      <c r="B17" s="11"/>
      <c r="C17" s="59"/>
      <c r="D17" s="59"/>
      <c r="E17" s="59"/>
      <c r="F17" s="15"/>
      <c r="G17" s="15"/>
      <c r="H17" s="15"/>
      <c r="I17" s="15"/>
      <c r="J17" s="59"/>
      <c r="K17" s="15"/>
      <c r="L17" s="15"/>
      <c r="M17" s="15"/>
      <c r="N17" s="15"/>
      <c r="O17" s="59"/>
      <c r="P17" s="15"/>
      <c r="Q17" s="15"/>
    </row>
    <row r="18" spans="1:17" ht="17.25" customHeight="1">
      <c r="A18" s="7"/>
      <c r="B18" s="13" t="s">
        <v>103</v>
      </c>
      <c r="C18" s="334"/>
      <c r="D18" s="59"/>
      <c r="E18" s="59"/>
      <c r="F18" s="15"/>
      <c r="G18" s="15"/>
      <c r="H18" s="15"/>
      <c r="I18" s="15"/>
      <c r="J18" s="59"/>
      <c r="K18" s="15"/>
      <c r="L18" s="15"/>
      <c r="M18" s="15"/>
      <c r="N18" s="15"/>
      <c r="O18" s="59"/>
      <c r="P18" s="15"/>
      <c r="Q18" s="15"/>
    </row>
    <row r="19" spans="1:17" s="18" customFormat="1" ht="17.25" customHeight="1" thickBot="1">
      <c r="A19" s="7"/>
      <c r="B19" s="28" t="s">
        <v>13</v>
      </c>
      <c r="C19" s="22">
        <f>17474+68</f>
        <v>17542</v>
      </c>
      <c r="D19" s="22">
        <v>-6605</v>
      </c>
      <c r="E19" s="22">
        <v>21297</v>
      </c>
      <c r="F19" s="106">
        <f>5311+5</f>
        <v>5316</v>
      </c>
      <c r="G19" s="106">
        <f>4040+14</f>
        <v>4054</v>
      </c>
      <c r="H19" s="106">
        <f>3650+9</f>
        <v>3659</v>
      </c>
      <c r="I19" s="106">
        <f>3518+8</f>
        <v>3526</v>
      </c>
      <c r="J19" s="43">
        <f>SUM(F19:I19)</f>
        <v>16555</v>
      </c>
      <c r="K19" s="106">
        <f>5066+21</f>
        <v>5087</v>
      </c>
      <c r="L19" s="106">
        <f>2807+10</f>
        <v>2817</v>
      </c>
      <c r="M19" s="106">
        <f>2003-22</f>
        <v>1981</v>
      </c>
      <c r="N19" s="106">
        <f>1113-12</f>
        <v>1101</v>
      </c>
      <c r="O19" s="43">
        <f aca="true" t="shared" si="7" ref="O19:O26">SUM(K19:N19)</f>
        <v>10986</v>
      </c>
      <c r="P19" s="106">
        <f>4140+19</f>
        <v>4159</v>
      </c>
      <c r="Q19" s="106">
        <v>2909</v>
      </c>
    </row>
    <row r="20" spans="1:17" s="41" customFormat="1" ht="17.25" customHeight="1" thickBot="1">
      <c r="A20" s="40"/>
      <c r="B20" s="28" t="s">
        <v>14</v>
      </c>
      <c r="C20" s="22">
        <v>301</v>
      </c>
      <c r="D20" s="22">
        <v>679</v>
      </c>
      <c r="E20" s="22">
        <v>326</v>
      </c>
      <c r="F20" s="106">
        <v>-69</v>
      </c>
      <c r="G20" s="106">
        <v>17</v>
      </c>
      <c r="H20" s="106">
        <v>-18</v>
      </c>
      <c r="I20" s="106">
        <v>-27</v>
      </c>
      <c r="J20" s="43">
        <f aca="true" t="shared" si="8" ref="J20:J26">SUM(F20:I20)</f>
        <v>-97</v>
      </c>
      <c r="K20" s="106">
        <v>-19</v>
      </c>
      <c r="L20" s="106">
        <v>15</v>
      </c>
      <c r="M20" s="106">
        <v>59</v>
      </c>
      <c r="N20" s="106">
        <v>22</v>
      </c>
      <c r="O20" s="43">
        <f t="shared" si="7"/>
        <v>77</v>
      </c>
      <c r="P20" s="106">
        <v>-6</v>
      </c>
      <c r="Q20" s="106">
        <v>-14</v>
      </c>
    </row>
    <row r="21" spans="1:17" s="18" customFormat="1" ht="17.25" customHeight="1">
      <c r="A21" s="7"/>
      <c r="B21" s="30" t="s">
        <v>15</v>
      </c>
      <c r="C21" s="390">
        <f>9989+19+18</f>
        <v>10026</v>
      </c>
      <c r="D21" s="390">
        <f>7006+19+15</f>
        <v>7040</v>
      </c>
      <c r="E21" s="390">
        <v>8702</v>
      </c>
      <c r="F21" s="118">
        <f>2324+6+9</f>
        <v>2339</v>
      </c>
      <c r="G21" s="118">
        <f>2014+6+10</f>
        <v>2030</v>
      </c>
      <c r="H21" s="118">
        <f>1872+7+8</f>
        <v>1887</v>
      </c>
      <c r="I21" s="118">
        <f>1823+5+9</f>
        <v>1837</v>
      </c>
      <c r="J21" s="55">
        <f t="shared" si="8"/>
        <v>8093</v>
      </c>
      <c r="K21" s="118">
        <f>2408+7+10</f>
        <v>2425</v>
      </c>
      <c r="L21" s="118">
        <f>1446+7+10</f>
        <v>1463</v>
      </c>
      <c r="M21" s="118">
        <f>1449+6+8</f>
        <v>1463</v>
      </c>
      <c r="N21" s="118">
        <f>1364+6+8</f>
        <v>1378</v>
      </c>
      <c r="O21" s="55">
        <f t="shared" si="7"/>
        <v>6729</v>
      </c>
      <c r="P21" s="118">
        <f>2063+5+8</f>
        <v>2076</v>
      </c>
      <c r="Q21" s="118">
        <v>1457</v>
      </c>
    </row>
    <row r="22" spans="1:17" s="18" customFormat="1" ht="17.25" customHeight="1">
      <c r="A22" s="7"/>
      <c r="B22" s="24" t="s">
        <v>16</v>
      </c>
      <c r="C22" s="323">
        <f>3416+16-18</f>
        <v>3414</v>
      </c>
      <c r="D22" s="323">
        <f>2794+24-15</f>
        <v>2803</v>
      </c>
      <c r="E22" s="323">
        <v>3551</v>
      </c>
      <c r="F22" s="109">
        <f>862+7-9</f>
        <v>860</v>
      </c>
      <c r="G22" s="109">
        <f>933+8-10</f>
        <v>931</v>
      </c>
      <c r="H22" s="109">
        <f>877+8-8</f>
        <v>877</v>
      </c>
      <c r="I22" s="109">
        <f>823+10-9</f>
        <v>824</v>
      </c>
      <c r="J22" s="46">
        <f t="shared" si="8"/>
        <v>3492</v>
      </c>
      <c r="K22" s="109">
        <f>887+9-10</f>
        <v>886</v>
      </c>
      <c r="L22" s="109">
        <f>830+9-10</f>
        <v>829</v>
      </c>
      <c r="M22" s="109">
        <f>896+10-8</f>
        <v>898</v>
      </c>
      <c r="N22" s="109">
        <f>890+13-8</f>
        <v>895</v>
      </c>
      <c r="O22" s="46">
        <f t="shared" si="7"/>
        <v>3508</v>
      </c>
      <c r="P22" s="109">
        <f>840+7-8</f>
        <v>839</v>
      </c>
      <c r="Q22" s="109">
        <v>839</v>
      </c>
    </row>
    <row r="23" spans="1:17" s="18" customFormat="1" ht="17.25" customHeight="1">
      <c r="A23" s="7"/>
      <c r="B23" s="29" t="s">
        <v>17</v>
      </c>
      <c r="C23" s="330">
        <f>1382+3</f>
        <v>1385</v>
      </c>
      <c r="D23" s="330">
        <f>1342+2</f>
        <v>1344</v>
      </c>
      <c r="E23" s="330">
        <v>1157</v>
      </c>
      <c r="F23" s="117">
        <f>305+1</f>
        <v>306</v>
      </c>
      <c r="G23" s="117">
        <f>351+1</f>
        <v>352</v>
      </c>
      <c r="H23" s="117">
        <f>295+1</f>
        <v>296</v>
      </c>
      <c r="I23" s="117">
        <f>301+1</f>
        <v>302</v>
      </c>
      <c r="J23" s="56">
        <f t="shared" si="8"/>
        <v>1256</v>
      </c>
      <c r="K23" s="117">
        <f>310+2</f>
        <v>312</v>
      </c>
      <c r="L23" s="117">
        <f>300+2</f>
        <v>302</v>
      </c>
      <c r="M23" s="117">
        <f>280+1</f>
        <v>281</v>
      </c>
      <c r="N23" s="117">
        <f>280+1</f>
        <v>281</v>
      </c>
      <c r="O23" s="56">
        <f t="shared" si="7"/>
        <v>1176</v>
      </c>
      <c r="P23" s="117">
        <f>250+2</f>
        <v>252</v>
      </c>
      <c r="Q23" s="117">
        <v>244</v>
      </c>
    </row>
    <row r="24" spans="1:17" s="18" customFormat="1" ht="17.25" customHeight="1">
      <c r="A24" s="7"/>
      <c r="B24" s="30" t="s">
        <v>18</v>
      </c>
      <c r="C24" s="53">
        <f aca="true" t="shared" si="9" ref="C24:I24">SUM(C22:C23)</f>
        <v>4799</v>
      </c>
      <c r="D24" s="53">
        <f t="shared" si="9"/>
        <v>4147</v>
      </c>
      <c r="E24" s="53">
        <f t="shared" si="9"/>
        <v>4708</v>
      </c>
      <c r="F24" s="53">
        <f t="shared" si="9"/>
        <v>1166</v>
      </c>
      <c r="G24" s="53">
        <f t="shared" si="9"/>
        <v>1283</v>
      </c>
      <c r="H24" s="53">
        <f t="shared" si="9"/>
        <v>1173</v>
      </c>
      <c r="I24" s="53">
        <f t="shared" si="9"/>
        <v>1126</v>
      </c>
      <c r="J24" s="53">
        <f t="shared" si="8"/>
        <v>4748</v>
      </c>
      <c r="K24" s="53">
        <f>SUM(K22:K23)</f>
        <v>1198</v>
      </c>
      <c r="L24" s="53">
        <f>SUM(L22:L23)</f>
        <v>1131</v>
      </c>
      <c r="M24" s="53">
        <f>SUM(M22:M23)</f>
        <v>1179</v>
      </c>
      <c r="N24" s="53">
        <f>SUM(N22:N23)</f>
        <v>1176</v>
      </c>
      <c r="O24" s="53">
        <f t="shared" si="7"/>
        <v>4684</v>
      </c>
      <c r="P24" s="53">
        <f>SUM(P22:P23)</f>
        <v>1091</v>
      </c>
      <c r="Q24" s="53">
        <f>SUM(Q22:Q23)</f>
        <v>1083</v>
      </c>
    </row>
    <row r="25" spans="1:17" s="18" customFormat="1" ht="17.25" customHeight="1" thickBot="1">
      <c r="A25" s="7"/>
      <c r="B25" s="28" t="s">
        <v>19</v>
      </c>
      <c r="C25" s="43">
        <f aca="true" t="shared" si="10" ref="C25:I25">+C21+C24</f>
        <v>14825</v>
      </c>
      <c r="D25" s="43">
        <f t="shared" si="10"/>
        <v>11187</v>
      </c>
      <c r="E25" s="43">
        <f t="shared" si="10"/>
        <v>13410</v>
      </c>
      <c r="F25" s="43">
        <f t="shared" si="10"/>
        <v>3505</v>
      </c>
      <c r="G25" s="43">
        <f t="shared" si="10"/>
        <v>3313</v>
      </c>
      <c r="H25" s="43">
        <f t="shared" si="10"/>
        <v>3060</v>
      </c>
      <c r="I25" s="43">
        <f t="shared" si="10"/>
        <v>2963</v>
      </c>
      <c r="J25" s="43">
        <f t="shared" si="8"/>
        <v>12841</v>
      </c>
      <c r="K25" s="43">
        <f>+K21+K24</f>
        <v>3623</v>
      </c>
      <c r="L25" s="43">
        <f>+L21+L24</f>
        <v>2594</v>
      </c>
      <c r="M25" s="43">
        <f>+M21+M24</f>
        <v>2642</v>
      </c>
      <c r="N25" s="43">
        <f>+N21+N24</f>
        <v>2554</v>
      </c>
      <c r="O25" s="43">
        <f t="shared" si="7"/>
        <v>11413</v>
      </c>
      <c r="P25" s="43">
        <f>+P21+P24</f>
        <v>3167</v>
      </c>
      <c r="Q25" s="43">
        <f>+Q21+Q24</f>
        <v>2540</v>
      </c>
    </row>
    <row r="26" spans="1:17" s="41" customFormat="1" ht="17.25" customHeight="1" thickBot="1">
      <c r="A26" s="40"/>
      <c r="B26" s="42" t="s">
        <v>100</v>
      </c>
      <c r="C26" s="43">
        <f aca="true" t="shared" si="11" ref="C26:I26">+C19-C20-C25</f>
        <v>2416</v>
      </c>
      <c r="D26" s="43">
        <f t="shared" si="11"/>
        <v>-18471</v>
      </c>
      <c r="E26" s="43">
        <f t="shared" si="11"/>
        <v>7561</v>
      </c>
      <c r="F26" s="43">
        <f t="shared" si="11"/>
        <v>1880</v>
      </c>
      <c r="G26" s="43">
        <f t="shared" si="11"/>
        <v>724</v>
      </c>
      <c r="H26" s="43">
        <f t="shared" si="11"/>
        <v>617</v>
      </c>
      <c r="I26" s="43">
        <f t="shared" si="11"/>
        <v>590</v>
      </c>
      <c r="J26" s="43">
        <f t="shared" si="8"/>
        <v>3811</v>
      </c>
      <c r="K26" s="43">
        <f>+K19-K20-K25</f>
        <v>1483</v>
      </c>
      <c r="L26" s="43">
        <f>+L19-L20-L25</f>
        <v>208</v>
      </c>
      <c r="M26" s="43">
        <f>+M19-M20-M25</f>
        <v>-720</v>
      </c>
      <c r="N26" s="43">
        <f>+N19-N20-N25</f>
        <v>-1475</v>
      </c>
      <c r="O26" s="43">
        <f t="shared" si="7"/>
        <v>-504</v>
      </c>
      <c r="P26" s="43">
        <f>+P19-P20-P25</f>
        <v>998</v>
      </c>
      <c r="Q26" s="43">
        <f>+Q19-Q20-Q25</f>
        <v>383</v>
      </c>
    </row>
    <row r="27" spans="1:17" s="41" customFormat="1" ht="12" customHeight="1">
      <c r="A27" s="40"/>
      <c r="B27" s="3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7.25" customHeight="1">
      <c r="A28" s="7"/>
      <c r="B28" s="13" t="s">
        <v>104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7.25" customHeight="1">
      <c r="A29" s="7"/>
      <c r="B29" s="30" t="s">
        <v>40</v>
      </c>
      <c r="C29" s="54">
        <f>+C25/C19*100</f>
        <v>84.5</v>
      </c>
      <c r="D29" s="101">
        <v>0</v>
      </c>
      <c r="E29" s="54">
        <f>+E25/E19*100</f>
        <v>63</v>
      </c>
      <c r="F29" s="54">
        <f>+F25/F19*100</f>
        <v>65.9</v>
      </c>
      <c r="G29" s="54">
        <f aca="true" t="shared" si="12" ref="G29:L29">+G25/G19*100</f>
        <v>81.7</v>
      </c>
      <c r="H29" s="54">
        <f t="shared" si="12"/>
        <v>83.6</v>
      </c>
      <c r="I29" s="54">
        <f t="shared" si="12"/>
        <v>84</v>
      </c>
      <c r="J29" s="54">
        <f t="shared" si="12"/>
        <v>77.6</v>
      </c>
      <c r="K29" s="54">
        <f t="shared" si="12"/>
        <v>71.2</v>
      </c>
      <c r="L29" s="54">
        <f t="shared" si="12"/>
        <v>92.1</v>
      </c>
      <c r="M29" s="54">
        <f>+M25/M19*100</f>
        <v>133.4</v>
      </c>
      <c r="N29" s="54">
        <f>+N25/N19*100</f>
        <v>232</v>
      </c>
      <c r="O29" s="54">
        <f>+O25/O19*100</f>
        <v>103.9</v>
      </c>
      <c r="P29" s="54">
        <f>+P25/P19*100</f>
        <v>76.1</v>
      </c>
      <c r="Q29" s="54">
        <f>+Q25/Q19*100</f>
        <v>87.3</v>
      </c>
    </row>
    <row r="30" spans="1:17" ht="17.25" customHeight="1" thickBot="1">
      <c r="A30" s="7"/>
      <c r="B30" s="61" t="s">
        <v>41</v>
      </c>
      <c r="C30" s="65">
        <f>+C26/C19*100</f>
        <v>13.8</v>
      </c>
      <c r="D30" s="102">
        <v>0</v>
      </c>
      <c r="E30" s="65">
        <f>+E26/E19*100</f>
        <v>35.5</v>
      </c>
      <c r="F30" s="65">
        <f>+F26/F19*100</f>
        <v>35.4</v>
      </c>
      <c r="G30" s="65">
        <f aca="true" t="shared" si="13" ref="G30:L30">+G26/G19*100</f>
        <v>17.9</v>
      </c>
      <c r="H30" s="65">
        <f t="shared" si="13"/>
        <v>16.9</v>
      </c>
      <c r="I30" s="65">
        <f t="shared" si="13"/>
        <v>16.7</v>
      </c>
      <c r="J30" s="65">
        <f t="shared" si="13"/>
        <v>23</v>
      </c>
      <c r="K30" s="65">
        <f t="shared" si="13"/>
        <v>29.2</v>
      </c>
      <c r="L30" s="65">
        <f t="shared" si="13"/>
        <v>7.4</v>
      </c>
      <c r="M30" s="65">
        <f>+M26/M19*100</f>
        <v>-36.3</v>
      </c>
      <c r="N30" s="65">
        <f>+N26/N19*100</f>
        <v>-134</v>
      </c>
      <c r="O30" s="65">
        <f>+O26/O19*100</f>
        <v>-4.6</v>
      </c>
      <c r="P30" s="65">
        <f>+P26/P19*100</f>
        <v>24</v>
      </c>
      <c r="Q30" s="65">
        <f>+Q26/Q19*100</f>
        <v>13.2</v>
      </c>
    </row>
    <row r="31" spans="1:17" ht="17.25" customHeight="1">
      <c r="A31" s="7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7.25" customHeight="1">
      <c r="A32" s="7"/>
      <c r="B32" s="13" t="s">
        <v>60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18" customFormat="1" ht="30.75" customHeight="1" thickBot="1">
      <c r="A33" s="7"/>
      <c r="B33" s="127" t="s">
        <v>92</v>
      </c>
      <c r="C33" s="327">
        <v>35611</v>
      </c>
      <c r="D33" s="327">
        <v>27711</v>
      </c>
      <c r="E33" s="327">
        <v>19315</v>
      </c>
      <c r="F33" s="327">
        <v>20033</v>
      </c>
      <c r="G33" s="327">
        <v>21537</v>
      </c>
      <c r="H33" s="327">
        <v>20601</v>
      </c>
      <c r="I33" s="327">
        <v>18947</v>
      </c>
      <c r="J33" s="327">
        <v>19973</v>
      </c>
      <c r="K33" s="327">
        <v>19243</v>
      </c>
      <c r="L33" s="327">
        <v>19620</v>
      </c>
      <c r="M33" s="327">
        <v>19333</v>
      </c>
      <c r="N33" s="327">
        <v>19813</v>
      </c>
      <c r="O33" s="327">
        <v>19493</v>
      </c>
      <c r="P33" s="327">
        <v>19670</v>
      </c>
      <c r="Q33" s="327">
        <v>19522</v>
      </c>
    </row>
    <row r="34" spans="1:17" s="18" customFormat="1" ht="31.5" customHeight="1" thickBot="1">
      <c r="A34" s="7"/>
      <c r="B34" s="127" t="s">
        <v>91</v>
      </c>
      <c r="C34" s="62">
        <v>7.4</v>
      </c>
      <c r="D34" s="62">
        <v>-66.2</v>
      </c>
      <c r="E34" s="62">
        <v>39.8</v>
      </c>
      <c r="F34" s="62">
        <v>38.2</v>
      </c>
      <c r="G34" s="62">
        <v>14.1</v>
      </c>
      <c r="H34" s="62">
        <v>12.6</v>
      </c>
      <c r="I34" s="62">
        <v>13.1</v>
      </c>
      <c r="J34" s="62">
        <v>19.7</v>
      </c>
      <c r="K34" s="62">
        <v>31.4</v>
      </c>
      <c r="L34" s="62">
        <v>4.7</v>
      </c>
      <c r="M34" s="62">
        <v>-14.3</v>
      </c>
      <c r="N34" s="62">
        <v>-29.1</v>
      </c>
      <c r="O34" s="62">
        <v>-2</v>
      </c>
      <c r="P34" s="62">
        <v>21</v>
      </c>
      <c r="Q34" s="62">
        <v>8.5</v>
      </c>
    </row>
    <row r="35" spans="1:17" ht="17.25" customHeight="1">
      <c r="A35" s="7"/>
      <c r="B35" s="11"/>
      <c r="C35" s="15"/>
      <c r="D35" s="15"/>
      <c r="E35" s="15"/>
      <c r="F35" s="115"/>
      <c r="G35" s="115"/>
      <c r="H35" s="115"/>
      <c r="I35" s="115"/>
      <c r="J35" s="15"/>
      <c r="K35" s="115"/>
      <c r="L35" s="115"/>
      <c r="M35" s="115"/>
      <c r="N35" s="115"/>
      <c r="O35" s="15"/>
      <c r="P35" s="115"/>
      <c r="Q35" s="115"/>
    </row>
    <row r="36" spans="1:17" ht="17.25" customHeight="1">
      <c r="A36" s="7"/>
      <c r="B36" s="13" t="s">
        <v>43</v>
      </c>
      <c r="C36" s="15"/>
      <c r="D36" s="15"/>
      <c r="E36" s="15"/>
      <c r="F36" s="115"/>
      <c r="G36" s="115"/>
      <c r="H36" s="115"/>
      <c r="I36" s="115"/>
      <c r="J36" s="15"/>
      <c r="K36" s="115"/>
      <c r="L36" s="115"/>
      <c r="M36" s="115"/>
      <c r="N36" s="115"/>
      <c r="O36" s="15"/>
      <c r="P36" s="115"/>
      <c r="Q36" s="115"/>
    </row>
    <row r="37" spans="1:17" ht="17.25" customHeight="1">
      <c r="A37" s="7"/>
      <c r="B37" s="30" t="s">
        <v>44</v>
      </c>
      <c r="C37" s="324" t="s">
        <v>194</v>
      </c>
      <c r="D37" s="324" t="s">
        <v>194</v>
      </c>
      <c r="E37" s="324">
        <v>825202</v>
      </c>
      <c r="F37" s="111">
        <v>855649</v>
      </c>
      <c r="G37" s="111">
        <v>911499</v>
      </c>
      <c r="H37" s="111">
        <v>844732</v>
      </c>
      <c r="I37" s="111">
        <v>809991</v>
      </c>
      <c r="J37" s="53">
        <f>+I37</f>
        <v>809991</v>
      </c>
      <c r="K37" s="111">
        <v>786108</v>
      </c>
      <c r="L37" s="111">
        <v>747901</v>
      </c>
      <c r="M37" s="111">
        <v>825416</v>
      </c>
      <c r="N37" s="111">
        <v>811689</v>
      </c>
      <c r="O37" s="53">
        <f>+N37</f>
        <v>811689</v>
      </c>
      <c r="P37" s="111">
        <v>762648</v>
      </c>
      <c r="Q37" s="111">
        <v>796613</v>
      </c>
    </row>
    <row r="38" spans="1:17" ht="17.25" customHeight="1">
      <c r="A38" s="7"/>
      <c r="B38" s="14" t="s">
        <v>45</v>
      </c>
      <c r="C38" s="324">
        <v>64892</v>
      </c>
      <c r="D38" s="324">
        <v>60837</v>
      </c>
      <c r="E38" s="324">
        <v>61175</v>
      </c>
      <c r="F38" s="111">
        <v>49978</v>
      </c>
      <c r="G38" s="111">
        <v>44816</v>
      </c>
      <c r="H38" s="111">
        <v>39639</v>
      </c>
      <c r="I38" s="111">
        <v>35970</v>
      </c>
      <c r="J38" s="53">
        <f>+I38</f>
        <v>35970</v>
      </c>
      <c r="K38" s="111">
        <v>36721</v>
      </c>
      <c r="L38" s="111">
        <v>33333</v>
      </c>
      <c r="M38" s="111">
        <v>34256</v>
      </c>
      <c r="N38" s="111">
        <v>37134</v>
      </c>
      <c r="O38" s="53">
        <f>+N38</f>
        <v>37134</v>
      </c>
      <c r="P38" s="111">
        <v>34063</v>
      </c>
      <c r="Q38" s="111">
        <v>36623</v>
      </c>
    </row>
    <row r="39" spans="1:17" ht="17.25" customHeight="1" thickBot="1">
      <c r="A39" s="7"/>
      <c r="B39" s="61" t="s">
        <v>46</v>
      </c>
      <c r="C39" s="327">
        <v>7465</v>
      </c>
      <c r="D39" s="327">
        <v>6972</v>
      </c>
      <c r="E39" s="327">
        <v>6843</v>
      </c>
      <c r="F39" s="112">
        <v>6955</v>
      </c>
      <c r="G39" s="112">
        <v>7096</v>
      </c>
      <c r="H39" s="112">
        <v>6558</v>
      </c>
      <c r="I39" s="112">
        <v>6347</v>
      </c>
      <c r="J39" s="66">
        <f>+I39</f>
        <v>6347</v>
      </c>
      <c r="K39" s="112">
        <v>6226</v>
      </c>
      <c r="L39" s="112">
        <v>5836</v>
      </c>
      <c r="M39" s="112">
        <v>6191</v>
      </c>
      <c r="N39" s="112">
        <v>6363</v>
      </c>
      <c r="O39" s="66">
        <f>+N39</f>
        <v>6363</v>
      </c>
      <c r="P39" s="112">
        <v>6165</v>
      </c>
      <c r="Q39" s="112">
        <v>6393</v>
      </c>
    </row>
    <row r="40" spans="1:17" ht="17.25" customHeight="1">
      <c r="A40" s="7"/>
      <c r="B40" s="11"/>
      <c r="C40" s="15"/>
      <c r="D40" s="15"/>
      <c r="E40" s="15"/>
      <c r="F40" s="115"/>
      <c r="G40" s="115"/>
      <c r="H40" s="115"/>
      <c r="I40" s="115"/>
      <c r="J40" s="15"/>
      <c r="K40" s="115"/>
      <c r="L40" s="115"/>
      <c r="M40" s="115"/>
      <c r="N40" s="115"/>
      <c r="O40" s="15"/>
      <c r="P40" s="115"/>
      <c r="Q40" s="115"/>
    </row>
    <row r="41" spans="1:17" ht="17.25" customHeight="1">
      <c r="A41" s="7"/>
      <c r="B41" s="13" t="s">
        <v>61</v>
      </c>
      <c r="C41" s="15"/>
      <c r="D41" s="15"/>
      <c r="E41" s="15"/>
      <c r="F41" s="115"/>
      <c r="G41" s="115"/>
      <c r="H41" s="115"/>
      <c r="I41" s="115"/>
      <c r="J41" s="15"/>
      <c r="K41" s="115"/>
      <c r="L41" s="115"/>
      <c r="M41" s="115"/>
      <c r="N41" s="115"/>
      <c r="O41" s="15"/>
      <c r="P41" s="115"/>
      <c r="Q41" s="115"/>
    </row>
    <row r="42" spans="1:17" ht="17.25" customHeight="1" thickBot="1">
      <c r="A42" s="7"/>
      <c r="B42" s="61" t="s">
        <v>62</v>
      </c>
      <c r="C42" s="327">
        <v>20900</v>
      </c>
      <c r="D42" s="135">
        <f>+'Core Results'!D41</f>
        <v>19900</v>
      </c>
      <c r="E42" s="135">
        <f>+'Core Results'!E41</f>
        <v>19800</v>
      </c>
      <c r="F42" s="135">
        <f>+'Core Results'!F41</f>
        <v>20400</v>
      </c>
      <c r="G42" s="135">
        <f>+'Core Results'!G41</f>
        <v>21100</v>
      </c>
      <c r="H42" s="135">
        <f>+'Core Results'!H41</f>
        <v>21700</v>
      </c>
      <c r="I42" s="135">
        <f>+'Core Results'!I41</f>
        <v>21200</v>
      </c>
      <c r="J42" s="66">
        <f>+I42</f>
        <v>21200</v>
      </c>
      <c r="K42" s="135">
        <f>+'Core Results'!K41</f>
        <v>21300</v>
      </c>
      <c r="L42" s="135">
        <f>+'Core Results'!L41</f>
        <v>21900</v>
      </c>
      <c r="M42" s="135">
        <f>+'Core Results'!M41</f>
        <v>22100</v>
      </c>
      <c r="N42" s="135">
        <f>+'Core Results'!N41</f>
        <v>21400</v>
      </c>
      <c r="O42" s="66">
        <f>+N42</f>
        <v>21400</v>
      </c>
      <c r="P42" s="135">
        <f>+'Core Results'!P41</f>
        <v>21200</v>
      </c>
      <c r="Q42" s="135">
        <f>+'Core Results'!Q41</f>
        <v>20600</v>
      </c>
    </row>
    <row r="43" spans="1:17" ht="17.25" customHeight="1">
      <c r="A43" s="7"/>
      <c r="B43" s="11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1:17" ht="17.25" customHeight="1">
      <c r="A44" s="7"/>
      <c r="B44" s="13" t="s">
        <v>196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1:17" ht="17.25" customHeight="1">
      <c r="A45" s="7"/>
      <c r="B45" s="24" t="s">
        <v>36</v>
      </c>
      <c r="C45" s="141" t="s">
        <v>194</v>
      </c>
      <c r="D45" s="141" t="s">
        <v>194</v>
      </c>
      <c r="E45" s="141">
        <v>152</v>
      </c>
      <c r="F45" s="109">
        <v>97</v>
      </c>
      <c r="G45" s="109">
        <v>90</v>
      </c>
      <c r="H45" s="109">
        <v>99</v>
      </c>
      <c r="I45" s="109">
        <v>90</v>
      </c>
      <c r="J45" s="109">
        <v>94</v>
      </c>
      <c r="K45" s="109">
        <v>80</v>
      </c>
      <c r="L45" s="109">
        <v>66</v>
      </c>
      <c r="M45" s="109">
        <v>69</v>
      </c>
      <c r="N45" s="109">
        <v>75</v>
      </c>
      <c r="O45" s="109">
        <v>72</v>
      </c>
      <c r="P45" s="109">
        <v>72</v>
      </c>
      <c r="Q45" s="109">
        <v>56</v>
      </c>
    </row>
    <row r="46" spans="1:17" ht="17.25" customHeight="1">
      <c r="A46" s="7"/>
      <c r="B46" s="16" t="s">
        <v>37</v>
      </c>
      <c r="C46" s="142" t="s">
        <v>194</v>
      </c>
      <c r="D46" s="142" t="s">
        <v>194</v>
      </c>
      <c r="E46" s="142">
        <v>21</v>
      </c>
      <c r="F46" s="104">
        <v>12</v>
      </c>
      <c r="G46" s="104">
        <v>17</v>
      </c>
      <c r="H46" s="104">
        <v>21</v>
      </c>
      <c r="I46" s="104">
        <v>18</v>
      </c>
      <c r="J46" s="104">
        <v>17</v>
      </c>
      <c r="K46" s="104">
        <v>14</v>
      </c>
      <c r="L46" s="104">
        <v>13</v>
      </c>
      <c r="M46" s="104">
        <v>10</v>
      </c>
      <c r="N46" s="104">
        <v>14</v>
      </c>
      <c r="O46" s="104">
        <v>24</v>
      </c>
      <c r="P46" s="104">
        <v>18</v>
      </c>
      <c r="Q46" s="104">
        <v>18</v>
      </c>
    </row>
    <row r="47" spans="1:17" ht="17.25" customHeight="1">
      <c r="A47" s="7"/>
      <c r="B47" s="16" t="s">
        <v>38</v>
      </c>
      <c r="C47" s="142" t="s">
        <v>194</v>
      </c>
      <c r="D47" s="142" t="s">
        <v>194</v>
      </c>
      <c r="E47" s="142">
        <v>25</v>
      </c>
      <c r="F47" s="104">
        <v>20</v>
      </c>
      <c r="G47" s="104">
        <v>19</v>
      </c>
      <c r="H47" s="104">
        <v>19</v>
      </c>
      <c r="I47" s="104">
        <v>23</v>
      </c>
      <c r="J47" s="104">
        <v>20</v>
      </c>
      <c r="K47" s="104">
        <v>18</v>
      </c>
      <c r="L47" s="104">
        <v>12</v>
      </c>
      <c r="M47" s="104">
        <v>7</v>
      </c>
      <c r="N47" s="104">
        <v>3</v>
      </c>
      <c r="O47" s="104">
        <v>10</v>
      </c>
      <c r="P47" s="104">
        <v>4</v>
      </c>
      <c r="Q47" s="104">
        <v>3</v>
      </c>
    </row>
    <row r="48" spans="1:17" ht="17.25" customHeight="1">
      <c r="A48" s="7"/>
      <c r="B48" s="16" t="s">
        <v>2</v>
      </c>
      <c r="C48" s="142" t="s">
        <v>194</v>
      </c>
      <c r="D48" s="142" t="s">
        <v>194</v>
      </c>
      <c r="E48" s="142">
        <v>32</v>
      </c>
      <c r="F48" s="104">
        <v>25</v>
      </c>
      <c r="G48" s="104">
        <v>26</v>
      </c>
      <c r="H48" s="104">
        <v>29</v>
      </c>
      <c r="I48" s="104">
        <v>23</v>
      </c>
      <c r="J48" s="104">
        <v>26</v>
      </c>
      <c r="K48" s="104">
        <v>23</v>
      </c>
      <c r="L48" s="104">
        <v>28</v>
      </c>
      <c r="M48" s="104">
        <v>20</v>
      </c>
      <c r="N48" s="104">
        <v>23</v>
      </c>
      <c r="O48" s="104">
        <v>13</v>
      </c>
      <c r="P48" s="104">
        <v>22</v>
      </c>
      <c r="Q48" s="104">
        <v>20</v>
      </c>
    </row>
    <row r="49" spans="1:17" ht="17.25" customHeight="1">
      <c r="A49" s="7"/>
      <c r="B49" s="32" t="s">
        <v>39</v>
      </c>
      <c r="C49" s="143" t="s">
        <v>194</v>
      </c>
      <c r="D49" s="143" t="s">
        <v>194</v>
      </c>
      <c r="E49" s="143">
        <v>-85</v>
      </c>
      <c r="F49" s="120">
        <v>-65</v>
      </c>
      <c r="G49" s="120">
        <v>-58</v>
      </c>
      <c r="H49" s="120">
        <v>-58</v>
      </c>
      <c r="I49" s="120">
        <v>-63</v>
      </c>
      <c r="J49" s="120">
        <v>-61</v>
      </c>
      <c r="K49" s="120">
        <v>-58</v>
      </c>
      <c r="L49" s="120">
        <v>-48</v>
      </c>
      <c r="M49" s="120">
        <v>-30</v>
      </c>
      <c r="N49" s="120">
        <v>-38</v>
      </c>
      <c r="O49" s="120">
        <v>-44</v>
      </c>
      <c r="P49" s="120">
        <v>-48</v>
      </c>
      <c r="Q49" s="120">
        <v>-37</v>
      </c>
    </row>
    <row r="50" spans="1:17" ht="17.25" customHeight="1" thickBot="1">
      <c r="A50" s="7"/>
      <c r="B50" s="28" t="s">
        <v>195</v>
      </c>
      <c r="C50" s="43" t="s">
        <v>194</v>
      </c>
      <c r="D50" s="43" t="s">
        <v>194</v>
      </c>
      <c r="E50" s="43">
        <f>SUM(E45:E49)</f>
        <v>145</v>
      </c>
      <c r="F50" s="43">
        <f>SUM(F45:F49)</f>
        <v>89</v>
      </c>
      <c r="G50" s="43">
        <v>94</v>
      </c>
      <c r="H50" s="43">
        <f>SUM(H45:H49)</f>
        <v>110</v>
      </c>
      <c r="I50" s="43">
        <f aca="true" t="shared" si="14" ref="I50:O50">SUM(I45:I49)</f>
        <v>91</v>
      </c>
      <c r="J50" s="43">
        <f t="shared" si="14"/>
        <v>96</v>
      </c>
      <c r="K50" s="43">
        <f t="shared" si="14"/>
        <v>77</v>
      </c>
      <c r="L50" s="43">
        <f t="shared" si="14"/>
        <v>71</v>
      </c>
      <c r="M50" s="43">
        <f t="shared" si="14"/>
        <v>76</v>
      </c>
      <c r="N50" s="43">
        <f t="shared" si="14"/>
        <v>77</v>
      </c>
      <c r="O50" s="43">
        <f t="shared" si="14"/>
        <v>75</v>
      </c>
      <c r="P50" s="43">
        <f>SUM(P45:P49)</f>
        <v>68</v>
      </c>
      <c r="Q50" s="43">
        <f>SUM(Q45:Q49)</f>
        <v>60</v>
      </c>
    </row>
    <row r="51" spans="1:17" ht="17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7.2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ht="11.25" customHeight="1">
      <c r="A53" s="7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7.25" customHeight="1">
      <c r="A54" s="7"/>
      <c r="B54" s="353" t="s">
        <v>204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7" ht="13.5" customHeight="1"/>
    <row r="73" ht="11.25" customHeight="1"/>
  </sheetData>
  <sheetProtection/>
  <mergeCells count="1">
    <mergeCell ref="B1:B2"/>
  </mergeCells>
  <conditionalFormatting sqref="C16:O16">
    <cfRule type="cellIs" priority="3" dxfId="0" operator="equal" stopIfTrue="1">
      <formula>"Error"</formula>
    </cfRule>
  </conditionalFormatting>
  <conditionalFormatting sqref="P16">
    <cfRule type="cellIs" priority="2" dxfId="0" operator="equal" stopIfTrue="1">
      <formula>"Error"</formula>
    </cfRule>
  </conditionalFormatting>
  <conditionalFormatting sqref="Q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External Reporting</dc:subject>
  <dc:creator/>
  <cp:keywords/>
  <dc:description/>
  <cp:lastModifiedBy>Richter Marc (TIA)</cp:lastModifiedBy>
  <cp:lastPrinted>2012-07-24T06:59:07Z</cp:lastPrinted>
  <dcterms:created xsi:type="dcterms:W3CDTF">2007-04-25T19:38:13Z</dcterms:created>
  <dcterms:modified xsi:type="dcterms:W3CDTF">2012-07-24T07:01:55Z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689037647</vt:i4>
  </property>
  <property fmtid="{D5CDD505-2E9C-101B-9397-08002B2CF9AE}" pid="3" name="_NewReviewCycle">
    <vt:lpwstr/>
  </property>
  <property fmtid="{D5CDD505-2E9C-101B-9397-08002B2CF9AE}" pid="4" name="_EmailSubject">
    <vt:lpwstr>Update to 2Q excel file</vt:lpwstr>
  </property>
  <property fmtid="{D5CDD505-2E9C-101B-9397-08002B2CF9AE}" pid="5" name="_AuthorEmail">
    <vt:lpwstr>marc.richter@credit-suisse.com</vt:lpwstr>
  </property>
  <property fmtid="{D5CDD505-2E9C-101B-9397-08002B2CF9AE}" pid="6" name="_AuthorEmailDisplayName">
    <vt:lpwstr>Richter Marc (TIA)</vt:lpwstr>
  </property>
  <property fmtid="{D5CDD505-2E9C-101B-9397-08002B2CF9AE}" pid="7" name="_PreviousAdHocReviewCycleID">
    <vt:i4>658325315</vt:i4>
  </property>
</Properties>
</file>